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6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camuzeaux\Dropbox (OEPA)\Methane Model\"/>
    </mc:Choice>
  </mc:AlternateContent>
  <workbookProtection workbookPassword="B467" lockStructure="1"/>
  <bookViews>
    <workbookView xWindow="48" yWindow="-36" windowWidth="19260" windowHeight="6048" tabRatio="849"/>
  </bookViews>
  <sheets>
    <sheet name="Instructions" sheetId="31" r:id="rId1"/>
    <sheet name="Control Panel" sheetId="12" r:id="rId2"/>
    <sheet name="Summary chart" sheetId="25" r:id="rId3"/>
    <sheet name="Cross-Over Leak Rate" sheetId="30" r:id="rId4"/>
    <sheet name="Final Outputs" sheetId="22" state="hidden" r:id="rId5"/>
    <sheet name="TPWP Scenario Outputs" sheetId="15" state="hidden" r:id="rId6"/>
    <sheet name="Other Sectors Outputs" sheetId="23" state="hidden" r:id="rId7"/>
    <sheet name="Emissions Factors" sheetId="27" state="hidden" r:id="rId8"/>
    <sheet name="Cross-Over L Calcs" sheetId="28" state="hidden" r:id="rId9"/>
    <sheet name="Calcs - Power" sheetId="8" state="hidden" r:id="rId10"/>
    <sheet name="Calcs - Transp" sheetId="1" state="hidden" r:id="rId11"/>
    <sheet name="Methane Leakage" sheetId="18" state="hidden" r:id="rId12"/>
    <sheet name="2010 Baseline Data" sheetId="20" r:id="rId13"/>
    <sheet name="TPWP Formula" sheetId="14" state="hidden" r:id="rId14"/>
  </sheets>
  <definedNames>
    <definedName name="_xlnm.Print_Area" localSheetId="1">'Control Panel'!$A$1:$T$27</definedName>
  </definedNames>
  <calcPr calcId="162913" calcMode="manual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8" i="20" l="1"/>
  <c r="E16" i="12"/>
  <c r="E17" i="12"/>
  <c r="B125" i="27"/>
  <c r="D70" i="27" s="1"/>
  <c r="E90" i="27"/>
  <c r="D8" i="27" l="1"/>
  <c r="F20" i="12" l="1"/>
  <c r="D68" i="27" l="1"/>
  <c r="B114" i="27" l="1"/>
  <c r="L12" i="20"/>
  <c r="L8" i="20"/>
  <c r="E7" i="23"/>
  <c r="B11" i="20"/>
  <c r="B10" i="20"/>
  <c r="I34" i="20"/>
  <c r="I36" i="20" s="1"/>
  <c r="I35" i="20" s="1"/>
  <c r="G13" i="20"/>
  <c r="N10" i="28" l="1"/>
  <c r="N9" i="28"/>
  <c r="N7" i="28"/>
  <c r="N6" i="28"/>
  <c r="H10" i="28"/>
  <c r="H9" i="28"/>
  <c r="H7" i="28"/>
  <c r="H6" i="28"/>
  <c r="B11" i="28"/>
  <c r="B10" i="28"/>
  <c r="B7" i="28"/>
  <c r="B6" i="28"/>
  <c r="A25" i="28" l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  <c r="A218" i="28" s="1"/>
  <c r="A219" i="28" s="1"/>
  <c r="A220" i="28" s="1"/>
  <c r="A221" i="28" s="1"/>
  <c r="A222" i="28" s="1"/>
  <c r="A223" i="28" s="1"/>
  <c r="A224" i="28" s="1"/>
  <c r="A225" i="28" s="1"/>
  <c r="A226" i="28" s="1"/>
  <c r="A227" i="28" s="1"/>
  <c r="A228" i="28" s="1"/>
  <c r="A229" i="28" s="1"/>
  <c r="A230" i="28" s="1"/>
  <c r="A231" i="28" s="1"/>
  <c r="A232" i="28" s="1"/>
  <c r="F16" i="12" l="1"/>
  <c r="B45" i="27" l="1"/>
  <c r="G11" i="27"/>
  <c r="F11" i="27"/>
  <c r="E11" i="27"/>
  <c r="C11" i="27"/>
  <c r="C35" i="27" s="1"/>
  <c r="B11" i="27"/>
  <c r="G10" i="27"/>
  <c r="E10" i="27"/>
  <c r="B10" i="27"/>
  <c r="F6" i="27"/>
  <c r="F10" i="27" s="1"/>
  <c r="C6" i="27"/>
  <c r="C10" i="27" s="1"/>
  <c r="C36" i="27" s="1"/>
  <c r="C45" i="27"/>
  <c r="O10" i="28" l="1"/>
  <c r="P10" i="28" s="1"/>
  <c r="O12" i="28"/>
  <c r="C12" i="28"/>
  <c r="C11" i="28"/>
  <c r="D11" i="28" s="1"/>
  <c r="O13" i="28"/>
  <c r="O6" i="28"/>
  <c r="P6" i="28" s="1"/>
  <c r="O8" i="28"/>
  <c r="O7" i="28"/>
  <c r="P7" i="28" s="1"/>
  <c r="O11" i="28"/>
  <c r="O9" i="28"/>
  <c r="P9" i="28" s="1"/>
  <c r="C8" i="28"/>
  <c r="C7" i="28"/>
  <c r="D7" i="28" s="1"/>
  <c r="I8" i="28"/>
  <c r="I7" i="28"/>
  <c r="J7" i="28" s="1"/>
  <c r="I12" i="28"/>
  <c r="I10" i="28"/>
  <c r="J10" i="28" s="1"/>
  <c r="D36" i="27"/>
  <c r="C9" i="28" s="1"/>
  <c r="D35" i="27"/>
  <c r="C13" i="28" s="1"/>
  <c r="D104" i="27" l="1"/>
  <c r="H61" i="27" s="1"/>
  <c r="H62" i="27" s="1"/>
  <c r="E94" i="27"/>
  <c r="E92" i="27"/>
  <c r="E91" i="27"/>
  <c r="B121" i="27"/>
  <c r="B113" i="27"/>
  <c r="B99" i="27" s="1"/>
  <c r="G72" i="27"/>
  <c r="B80" i="27" s="1"/>
  <c r="C72" i="27"/>
  <c r="B72" i="27"/>
  <c r="AS3" i="15"/>
  <c r="AX5" i="15"/>
  <c r="AX6" i="15" s="1"/>
  <c r="AX7" i="15" s="1"/>
  <c r="AX8" i="15" s="1"/>
  <c r="AX9" i="15" s="1"/>
  <c r="AX10" i="15" s="1"/>
  <c r="AX11" i="15" s="1"/>
  <c r="AX12" i="15" s="1"/>
  <c r="AX13" i="15" s="1"/>
  <c r="AX14" i="15" s="1"/>
  <c r="AX15" i="15" s="1"/>
  <c r="AX16" i="15" s="1"/>
  <c r="AX17" i="15" s="1"/>
  <c r="AX18" i="15" s="1"/>
  <c r="AX19" i="15" s="1"/>
  <c r="AX20" i="15" s="1"/>
  <c r="AX21" i="15" s="1"/>
  <c r="AX22" i="15" s="1"/>
  <c r="AX23" i="15" s="1"/>
  <c r="AX24" i="15" s="1"/>
  <c r="AX25" i="15" s="1"/>
  <c r="AX26" i="15" s="1"/>
  <c r="AX27" i="15" s="1"/>
  <c r="AX28" i="15" s="1"/>
  <c r="AX29" i="15" s="1"/>
  <c r="AX30" i="15" s="1"/>
  <c r="AX31" i="15" s="1"/>
  <c r="AX32" i="15" s="1"/>
  <c r="AX33" i="15" s="1"/>
  <c r="AX34" i="15" s="1"/>
  <c r="AX35" i="15" s="1"/>
  <c r="AX36" i="15" s="1"/>
  <c r="AX37" i="15" s="1"/>
  <c r="AX38" i="15" s="1"/>
  <c r="AX39" i="15" s="1"/>
  <c r="AX40" i="15" s="1"/>
  <c r="AX41" i="15" s="1"/>
  <c r="AX42" i="15" s="1"/>
  <c r="AX43" i="15" s="1"/>
  <c r="AX44" i="15" s="1"/>
  <c r="AX45" i="15" s="1"/>
  <c r="AX46" i="15" s="1"/>
  <c r="AX47" i="15" s="1"/>
  <c r="AX48" i="15" s="1"/>
  <c r="AX49" i="15" s="1"/>
  <c r="AX50" i="15" s="1"/>
  <c r="AX51" i="15" s="1"/>
  <c r="AX52" i="15" s="1"/>
  <c r="AX53" i="15" s="1"/>
  <c r="AX54" i="15" s="1"/>
  <c r="AX55" i="15" s="1"/>
  <c r="AX56" i="15" s="1"/>
  <c r="AX57" i="15" s="1"/>
  <c r="AX58" i="15" s="1"/>
  <c r="AX59" i="15" s="1"/>
  <c r="AX60" i="15" s="1"/>
  <c r="AX61" i="15" s="1"/>
  <c r="AX62" i="15" s="1"/>
  <c r="AX63" i="15" s="1"/>
  <c r="AX64" i="15" s="1"/>
  <c r="AX65" i="15" s="1"/>
  <c r="AX66" i="15" s="1"/>
  <c r="AX67" i="15" s="1"/>
  <c r="AX68" i="15" s="1"/>
  <c r="AX69" i="15" s="1"/>
  <c r="AX70" i="15" s="1"/>
  <c r="AX71" i="15" s="1"/>
  <c r="AX72" i="15" s="1"/>
  <c r="AX73" i="15" s="1"/>
  <c r="AX74" i="15" s="1"/>
  <c r="AX75" i="15" s="1"/>
  <c r="AX76" i="15" s="1"/>
  <c r="AX77" i="15" s="1"/>
  <c r="AX78" i="15" s="1"/>
  <c r="AX79" i="15" s="1"/>
  <c r="AX80" i="15" s="1"/>
  <c r="AX81" i="15" s="1"/>
  <c r="AX82" i="15" s="1"/>
  <c r="AX83" i="15" s="1"/>
  <c r="AX84" i="15" s="1"/>
  <c r="AX85" i="15" s="1"/>
  <c r="AX86" i="15" s="1"/>
  <c r="AX87" i="15" s="1"/>
  <c r="AX88" i="15" s="1"/>
  <c r="AX89" i="15" s="1"/>
  <c r="AX90" i="15" s="1"/>
  <c r="AX91" i="15" s="1"/>
  <c r="AX92" i="15" s="1"/>
  <c r="AX93" i="15" s="1"/>
  <c r="AX94" i="15" s="1"/>
  <c r="AX95" i="15" s="1"/>
  <c r="AX96" i="15" s="1"/>
  <c r="AX97" i="15" s="1"/>
  <c r="AX98" i="15" s="1"/>
  <c r="AX99" i="15" s="1"/>
  <c r="AX100" i="15" s="1"/>
  <c r="AX101" i="15" s="1"/>
  <c r="AX102" i="15" s="1"/>
  <c r="AX103" i="15" s="1"/>
  <c r="AX104" i="15" s="1"/>
  <c r="AX105" i="15" s="1"/>
  <c r="AX106" i="15" s="1"/>
  <c r="AX107" i="15" s="1"/>
  <c r="AX108" i="15" s="1"/>
  <c r="AX109" i="15" s="1"/>
  <c r="AX110" i="15" s="1"/>
  <c r="AX111" i="15" s="1"/>
  <c r="AX112" i="15" s="1"/>
  <c r="AX113" i="15" s="1"/>
  <c r="AX114" i="15" s="1"/>
  <c r="AX115" i="15" s="1"/>
  <c r="AX116" i="15" s="1"/>
  <c r="AX117" i="15" s="1"/>
  <c r="AX118" i="15" s="1"/>
  <c r="AX119" i="15" s="1"/>
  <c r="AX120" i="15" s="1"/>
  <c r="AX121" i="15" s="1"/>
  <c r="AX122" i="15" s="1"/>
  <c r="AX123" i="15" s="1"/>
  <c r="AX124" i="15" s="1"/>
  <c r="AX125" i="15" s="1"/>
  <c r="AX126" i="15" s="1"/>
  <c r="AX127" i="15" s="1"/>
  <c r="AX128" i="15" s="1"/>
  <c r="AX129" i="15" s="1"/>
  <c r="AX130" i="15" s="1"/>
  <c r="AX131" i="15" s="1"/>
  <c r="AX132" i="15" s="1"/>
  <c r="AX133" i="15" s="1"/>
  <c r="AX134" i="15" s="1"/>
  <c r="AX135" i="15" s="1"/>
  <c r="AX136" i="15" s="1"/>
  <c r="AX137" i="15" s="1"/>
  <c r="AX138" i="15" s="1"/>
  <c r="AX139" i="15" s="1"/>
  <c r="AX140" i="15" s="1"/>
  <c r="AX141" i="15" s="1"/>
  <c r="AX142" i="15" s="1"/>
  <c r="AX143" i="15" s="1"/>
  <c r="AX144" i="15" s="1"/>
  <c r="AX145" i="15" s="1"/>
  <c r="AX146" i="15" s="1"/>
  <c r="AX147" i="15" s="1"/>
  <c r="AX148" i="15" s="1"/>
  <c r="AX149" i="15" s="1"/>
  <c r="AX150" i="15" s="1"/>
  <c r="AX151" i="15" s="1"/>
  <c r="AX152" i="15" s="1"/>
  <c r="AX153" i="15" s="1"/>
  <c r="AX154" i="15" s="1"/>
  <c r="AX155" i="15" s="1"/>
  <c r="AX156" i="15" s="1"/>
  <c r="AX157" i="15" s="1"/>
  <c r="AX158" i="15" s="1"/>
  <c r="AX159" i="15" s="1"/>
  <c r="AX160" i="15" s="1"/>
  <c r="AX161" i="15" s="1"/>
  <c r="AX162" i="15" s="1"/>
  <c r="AX163" i="15" s="1"/>
  <c r="AX164" i="15" s="1"/>
  <c r="AX165" i="15" s="1"/>
  <c r="AX166" i="15" s="1"/>
  <c r="AX167" i="15" s="1"/>
  <c r="AX168" i="15" s="1"/>
  <c r="AX169" i="15" s="1"/>
  <c r="AX170" i="15" s="1"/>
  <c r="AX171" i="15" s="1"/>
  <c r="AX172" i="15" s="1"/>
  <c r="AX173" i="15" s="1"/>
  <c r="AX174" i="15" s="1"/>
  <c r="AX175" i="15" s="1"/>
  <c r="AX176" i="15" s="1"/>
  <c r="AX177" i="15" s="1"/>
  <c r="AX178" i="15" s="1"/>
  <c r="AX179" i="15" s="1"/>
  <c r="AX180" i="15" s="1"/>
  <c r="AX181" i="15" s="1"/>
  <c r="AX182" i="15" s="1"/>
  <c r="AX183" i="15" s="1"/>
  <c r="AX184" i="15" s="1"/>
  <c r="AX185" i="15" s="1"/>
  <c r="AX186" i="15" s="1"/>
  <c r="AX187" i="15" s="1"/>
  <c r="AX188" i="15" s="1"/>
  <c r="AX189" i="15" s="1"/>
  <c r="AX190" i="15" s="1"/>
  <c r="AX191" i="15" s="1"/>
  <c r="AX192" i="15" s="1"/>
  <c r="AX193" i="15" s="1"/>
  <c r="AX194" i="15" s="1"/>
  <c r="AX195" i="15" s="1"/>
  <c r="AX196" i="15" s="1"/>
  <c r="AX197" i="15" s="1"/>
  <c r="AX198" i="15" s="1"/>
  <c r="AX199" i="15" s="1"/>
  <c r="AX200" i="15" s="1"/>
  <c r="AX201" i="15" s="1"/>
  <c r="AX202" i="15" s="1"/>
  <c r="AX203" i="15" s="1"/>
  <c r="AX204" i="15" s="1"/>
  <c r="AX205" i="15" s="1"/>
  <c r="AX206" i="15" s="1"/>
  <c r="AX207" i="15" s="1"/>
  <c r="AX208" i="15" s="1"/>
  <c r="AX209" i="15" s="1"/>
  <c r="AX210" i="15" s="1"/>
  <c r="AX211" i="15" s="1"/>
  <c r="AX212" i="15" s="1"/>
  <c r="D69" i="27" l="1"/>
  <c r="E69" i="27" s="1"/>
  <c r="N13" i="28"/>
  <c r="P13" i="28" s="1"/>
  <c r="N11" i="28"/>
  <c r="P11" i="28" s="1"/>
  <c r="B102" i="27"/>
  <c r="B50" i="27"/>
  <c r="C50" i="27"/>
  <c r="E70" i="27"/>
  <c r="D71" i="27"/>
  <c r="E71" i="27" s="1"/>
  <c r="F71" i="27" s="1"/>
  <c r="E68" i="27"/>
  <c r="C99" i="27"/>
  <c r="E59" i="27" s="1"/>
  <c r="E62" i="27" s="1"/>
  <c r="D72" i="27"/>
  <c r="E72" i="27" s="1"/>
  <c r="B76" i="27" s="1"/>
  <c r="D102" i="27"/>
  <c r="G60" i="27" s="1"/>
  <c r="G62" i="27" s="1"/>
  <c r="F92" i="27"/>
  <c r="F91" i="27"/>
  <c r="F90" i="27"/>
  <c r="F94" i="27"/>
  <c r="E93" i="27"/>
  <c r="B98" i="27"/>
  <c r="C98" i="27" s="1"/>
  <c r="D58" i="27" s="1"/>
  <c r="D62" i="27" s="1"/>
  <c r="B100" i="27"/>
  <c r="C100" i="27" s="1"/>
  <c r="F60" i="27" s="1"/>
  <c r="F62" i="27" s="1"/>
  <c r="AD3" i="15"/>
  <c r="AI5" i="15"/>
  <c r="AI6" i="15" s="1"/>
  <c r="AI7" i="15" s="1"/>
  <c r="AI8" i="15" s="1"/>
  <c r="AI9" i="15" s="1"/>
  <c r="AI10" i="15" s="1"/>
  <c r="AI11" i="15" s="1"/>
  <c r="AI12" i="15" s="1"/>
  <c r="AI13" i="15" s="1"/>
  <c r="AI14" i="15" s="1"/>
  <c r="AI15" i="15" s="1"/>
  <c r="AI16" i="15" s="1"/>
  <c r="AI17" i="15" s="1"/>
  <c r="AI18" i="15" s="1"/>
  <c r="AI19" i="15" s="1"/>
  <c r="AI20" i="15" s="1"/>
  <c r="AI21" i="15" s="1"/>
  <c r="AI22" i="15" s="1"/>
  <c r="AI23" i="15" s="1"/>
  <c r="AI24" i="15" s="1"/>
  <c r="AI25" i="15" s="1"/>
  <c r="AI26" i="15" s="1"/>
  <c r="AI27" i="15" s="1"/>
  <c r="AI28" i="15" s="1"/>
  <c r="AI29" i="15" s="1"/>
  <c r="AI30" i="15" s="1"/>
  <c r="AI31" i="15" s="1"/>
  <c r="AI32" i="15" s="1"/>
  <c r="AI33" i="15" s="1"/>
  <c r="AI34" i="15" s="1"/>
  <c r="AI35" i="15" s="1"/>
  <c r="AI36" i="15" s="1"/>
  <c r="AI37" i="15" s="1"/>
  <c r="AI38" i="15" s="1"/>
  <c r="AI39" i="15" s="1"/>
  <c r="AI40" i="15" s="1"/>
  <c r="AI41" i="15" s="1"/>
  <c r="AI42" i="15" s="1"/>
  <c r="AI43" i="15" s="1"/>
  <c r="AI44" i="15" s="1"/>
  <c r="AI45" i="15" s="1"/>
  <c r="AI46" i="15" s="1"/>
  <c r="AI47" i="15" s="1"/>
  <c r="AI48" i="15" s="1"/>
  <c r="AI49" i="15" s="1"/>
  <c r="AI50" i="15" s="1"/>
  <c r="AI51" i="15" s="1"/>
  <c r="AI52" i="15" s="1"/>
  <c r="AI53" i="15" s="1"/>
  <c r="AI54" i="15" s="1"/>
  <c r="AI55" i="15" s="1"/>
  <c r="AI56" i="15" s="1"/>
  <c r="AI57" i="15" s="1"/>
  <c r="AI58" i="15" s="1"/>
  <c r="AI59" i="15" s="1"/>
  <c r="AI60" i="15" s="1"/>
  <c r="AI61" i="15" s="1"/>
  <c r="AI62" i="15" s="1"/>
  <c r="AI63" i="15" s="1"/>
  <c r="AI64" i="15" s="1"/>
  <c r="AI65" i="15" s="1"/>
  <c r="AI66" i="15" s="1"/>
  <c r="AI67" i="15" s="1"/>
  <c r="AI68" i="15" s="1"/>
  <c r="AI69" i="15" s="1"/>
  <c r="AI70" i="15" s="1"/>
  <c r="AI71" i="15" s="1"/>
  <c r="AI72" i="15" s="1"/>
  <c r="AI73" i="15" s="1"/>
  <c r="AI74" i="15" s="1"/>
  <c r="AI75" i="15" s="1"/>
  <c r="AI76" i="15" s="1"/>
  <c r="AI77" i="15" s="1"/>
  <c r="AI78" i="15" s="1"/>
  <c r="AI79" i="15" s="1"/>
  <c r="AI80" i="15" s="1"/>
  <c r="AI81" i="15" s="1"/>
  <c r="AI82" i="15" s="1"/>
  <c r="AI83" i="15" s="1"/>
  <c r="AI84" i="15" s="1"/>
  <c r="AI85" i="15" s="1"/>
  <c r="AI86" i="15" s="1"/>
  <c r="AI87" i="15" s="1"/>
  <c r="AI88" i="15" s="1"/>
  <c r="AI89" i="15" s="1"/>
  <c r="AI90" i="15" s="1"/>
  <c r="AI91" i="15" s="1"/>
  <c r="AI92" i="15" s="1"/>
  <c r="AI93" i="15" s="1"/>
  <c r="AI94" i="15" s="1"/>
  <c r="AI95" i="15" s="1"/>
  <c r="AI96" i="15" s="1"/>
  <c r="AI97" i="15" s="1"/>
  <c r="AI98" i="15" s="1"/>
  <c r="AI99" i="15" s="1"/>
  <c r="AI100" i="15" s="1"/>
  <c r="AI101" i="15" s="1"/>
  <c r="AI102" i="15" s="1"/>
  <c r="AI103" i="15" s="1"/>
  <c r="AI104" i="15" s="1"/>
  <c r="AI105" i="15" s="1"/>
  <c r="AI106" i="15" s="1"/>
  <c r="AI107" i="15" s="1"/>
  <c r="AI108" i="15" s="1"/>
  <c r="AI109" i="15" s="1"/>
  <c r="AI110" i="15" s="1"/>
  <c r="AI111" i="15" s="1"/>
  <c r="AI112" i="15" s="1"/>
  <c r="AI113" i="15" s="1"/>
  <c r="AI114" i="15" s="1"/>
  <c r="AI115" i="15" s="1"/>
  <c r="AI116" i="15" s="1"/>
  <c r="AI117" i="15" s="1"/>
  <c r="AI118" i="15" s="1"/>
  <c r="AI119" i="15" s="1"/>
  <c r="AI120" i="15" s="1"/>
  <c r="AI121" i="15" s="1"/>
  <c r="AI122" i="15" s="1"/>
  <c r="AI123" i="15" s="1"/>
  <c r="AI124" i="15" s="1"/>
  <c r="AI125" i="15" s="1"/>
  <c r="AI126" i="15" s="1"/>
  <c r="AI127" i="15" s="1"/>
  <c r="AI128" i="15" s="1"/>
  <c r="AI129" i="15" s="1"/>
  <c r="AI130" i="15" s="1"/>
  <c r="AI131" i="15" s="1"/>
  <c r="AI132" i="15" s="1"/>
  <c r="AI133" i="15" s="1"/>
  <c r="AI134" i="15" s="1"/>
  <c r="AI135" i="15" s="1"/>
  <c r="AI136" i="15" s="1"/>
  <c r="AI137" i="15" s="1"/>
  <c r="AI138" i="15" s="1"/>
  <c r="AI139" i="15" s="1"/>
  <c r="AI140" i="15" s="1"/>
  <c r="AI141" i="15" s="1"/>
  <c r="AI142" i="15" s="1"/>
  <c r="AI143" i="15" s="1"/>
  <c r="AI144" i="15" s="1"/>
  <c r="AI145" i="15" s="1"/>
  <c r="AI146" i="15" s="1"/>
  <c r="AI147" i="15" s="1"/>
  <c r="AI148" i="15" s="1"/>
  <c r="AI149" i="15" s="1"/>
  <c r="AI150" i="15" s="1"/>
  <c r="AI151" i="15" s="1"/>
  <c r="AI152" i="15" s="1"/>
  <c r="AI153" i="15" s="1"/>
  <c r="AI154" i="15" s="1"/>
  <c r="AI155" i="15" s="1"/>
  <c r="AI156" i="15" s="1"/>
  <c r="AI157" i="15" s="1"/>
  <c r="AI158" i="15" s="1"/>
  <c r="AI159" i="15" s="1"/>
  <c r="AI160" i="15" s="1"/>
  <c r="AI161" i="15" s="1"/>
  <c r="AI162" i="15" s="1"/>
  <c r="AI163" i="15" s="1"/>
  <c r="AI164" i="15" s="1"/>
  <c r="AI165" i="15" s="1"/>
  <c r="AI166" i="15" s="1"/>
  <c r="AI167" i="15" s="1"/>
  <c r="AI168" i="15" s="1"/>
  <c r="AI169" i="15" s="1"/>
  <c r="AI170" i="15" s="1"/>
  <c r="AI171" i="15" s="1"/>
  <c r="AI172" i="15" s="1"/>
  <c r="AI173" i="15" s="1"/>
  <c r="AI174" i="15" s="1"/>
  <c r="AI175" i="15" s="1"/>
  <c r="AI176" i="15" s="1"/>
  <c r="AI177" i="15" s="1"/>
  <c r="AI178" i="15" s="1"/>
  <c r="AI179" i="15" s="1"/>
  <c r="AI180" i="15" s="1"/>
  <c r="AI181" i="15" s="1"/>
  <c r="AI182" i="15" s="1"/>
  <c r="AI183" i="15" s="1"/>
  <c r="AI184" i="15" s="1"/>
  <c r="AI185" i="15" s="1"/>
  <c r="AI186" i="15" s="1"/>
  <c r="AI187" i="15" s="1"/>
  <c r="AI188" i="15" s="1"/>
  <c r="AI189" i="15" s="1"/>
  <c r="AI190" i="15" s="1"/>
  <c r="AI191" i="15" s="1"/>
  <c r="AI192" i="15" s="1"/>
  <c r="AI193" i="15" s="1"/>
  <c r="AI194" i="15" s="1"/>
  <c r="AI195" i="15" s="1"/>
  <c r="AI196" i="15" s="1"/>
  <c r="AI197" i="15" s="1"/>
  <c r="AI198" i="15" s="1"/>
  <c r="AI199" i="15" s="1"/>
  <c r="AI200" i="15" s="1"/>
  <c r="AI201" i="15" s="1"/>
  <c r="AI202" i="15" s="1"/>
  <c r="AI203" i="15" s="1"/>
  <c r="AI204" i="15" s="1"/>
  <c r="AI205" i="15" s="1"/>
  <c r="AI206" i="15" s="1"/>
  <c r="AI207" i="15" s="1"/>
  <c r="AI208" i="15" s="1"/>
  <c r="AI209" i="15" s="1"/>
  <c r="AI210" i="15" s="1"/>
  <c r="AI211" i="15" s="1"/>
  <c r="AI212" i="15" s="1"/>
  <c r="P5" i="15"/>
  <c r="P6" i="15" s="1"/>
  <c r="P7" i="15" s="1"/>
  <c r="P8" i="15" s="1"/>
  <c r="P9" i="15" s="1"/>
  <c r="P10" i="15" s="1"/>
  <c r="P11" i="15" s="1"/>
  <c r="P12" i="15" s="1"/>
  <c r="P13" i="15" s="1"/>
  <c r="P14" i="15" s="1"/>
  <c r="P15" i="15" s="1"/>
  <c r="P16" i="15" s="1"/>
  <c r="P17" i="15" s="1"/>
  <c r="P18" i="15" s="1"/>
  <c r="P19" i="15" s="1"/>
  <c r="P20" i="15" s="1"/>
  <c r="P21" i="15" s="1"/>
  <c r="P22" i="15" s="1"/>
  <c r="P23" i="15" s="1"/>
  <c r="P24" i="15" s="1"/>
  <c r="P25" i="15" s="1"/>
  <c r="P26" i="15" s="1"/>
  <c r="P27" i="15" s="1"/>
  <c r="P28" i="15" s="1"/>
  <c r="P29" i="15" s="1"/>
  <c r="P30" i="15" s="1"/>
  <c r="P31" i="15" s="1"/>
  <c r="P32" i="15" s="1"/>
  <c r="P33" i="15" s="1"/>
  <c r="P34" i="15" s="1"/>
  <c r="P35" i="15" s="1"/>
  <c r="P36" i="15" s="1"/>
  <c r="P37" i="15" s="1"/>
  <c r="P38" i="15" s="1"/>
  <c r="P39" i="15" s="1"/>
  <c r="P40" i="15" s="1"/>
  <c r="P41" i="15" s="1"/>
  <c r="P42" i="15" s="1"/>
  <c r="P43" i="15" s="1"/>
  <c r="P44" i="15" s="1"/>
  <c r="P45" i="15" s="1"/>
  <c r="P46" i="15" s="1"/>
  <c r="P47" i="15" s="1"/>
  <c r="P48" i="15" s="1"/>
  <c r="P49" i="15" s="1"/>
  <c r="P50" i="15" s="1"/>
  <c r="P51" i="15" s="1"/>
  <c r="P52" i="15" s="1"/>
  <c r="P53" i="15" s="1"/>
  <c r="P54" i="15" s="1"/>
  <c r="P55" i="15" s="1"/>
  <c r="P56" i="15" s="1"/>
  <c r="P57" i="15" s="1"/>
  <c r="P58" i="15" s="1"/>
  <c r="P59" i="15" s="1"/>
  <c r="P60" i="15" s="1"/>
  <c r="P61" i="15" s="1"/>
  <c r="P62" i="15" s="1"/>
  <c r="P63" i="15" s="1"/>
  <c r="P64" i="15" s="1"/>
  <c r="P65" i="15" s="1"/>
  <c r="P66" i="15" s="1"/>
  <c r="P67" i="15" s="1"/>
  <c r="P68" i="15" s="1"/>
  <c r="P69" i="15" s="1"/>
  <c r="P70" i="15" s="1"/>
  <c r="P71" i="15" s="1"/>
  <c r="P72" i="15" s="1"/>
  <c r="P73" i="15" s="1"/>
  <c r="P74" i="15" s="1"/>
  <c r="P75" i="15" s="1"/>
  <c r="P76" i="15" s="1"/>
  <c r="P77" i="15" s="1"/>
  <c r="P78" i="15" s="1"/>
  <c r="P79" i="15" s="1"/>
  <c r="P80" i="15" s="1"/>
  <c r="P81" i="15" s="1"/>
  <c r="P82" i="15" s="1"/>
  <c r="P83" i="15" s="1"/>
  <c r="P84" i="15" s="1"/>
  <c r="P85" i="15" s="1"/>
  <c r="P86" i="15" s="1"/>
  <c r="P87" i="15" s="1"/>
  <c r="P88" i="15" s="1"/>
  <c r="P89" i="15" s="1"/>
  <c r="P90" i="15" s="1"/>
  <c r="P91" i="15" s="1"/>
  <c r="P92" i="15" s="1"/>
  <c r="P93" i="15" s="1"/>
  <c r="P94" i="15" s="1"/>
  <c r="P95" i="15" s="1"/>
  <c r="P96" i="15" s="1"/>
  <c r="P97" i="15" s="1"/>
  <c r="P98" i="15" s="1"/>
  <c r="P99" i="15" s="1"/>
  <c r="P100" i="15" s="1"/>
  <c r="P101" i="15" s="1"/>
  <c r="P102" i="15" s="1"/>
  <c r="P103" i="15" s="1"/>
  <c r="P104" i="15" s="1"/>
  <c r="P105" i="15" s="1"/>
  <c r="P106" i="15" s="1"/>
  <c r="P107" i="15" s="1"/>
  <c r="P108" i="15" s="1"/>
  <c r="P109" i="15" s="1"/>
  <c r="P110" i="15" s="1"/>
  <c r="P111" i="15" s="1"/>
  <c r="P112" i="15" s="1"/>
  <c r="P113" i="15" s="1"/>
  <c r="P114" i="15" s="1"/>
  <c r="P115" i="15" s="1"/>
  <c r="P116" i="15" s="1"/>
  <c r="P117" i="15" s="1"/>
  <c r="P118" i="15" s="1"/>
  <c r="P119" i="15" s="1"/>
  <c r="P120" i="15" s="1"/>
  <c r="P121" i="15" s="1"/>
  <c r="P122" i="15" s="1"/>
  <c r="P123" i="15" s="1"/>
  <c r="P124" i="15" s="1"/>
  <c r="P125" i="15" s="1"/>
  <c r="P126" i="15" s="1"/>
  <c r="P127" i="15" s="1"/>
  <c r="P128" i="15" s="1"/>
  <c r="P129" i="15" s="1"/>
  <c r="P130" i="15" s="1"/>
  <c r="P131" i="15" s="1"/>
  <c r="P132" i="15" s="1"/>
  <c r="P133" i="15" s="1"/>
  <c r="P134" i="15" s="1"/>
  <c r="P135" i="15" s="1"/>
  <c r="P136" i="15" s="1"/>
  <c r="P137" i="15" s="1"/>
  <c r="P138" i="15" s="1"/>
  <c r="P139" i="15" s="1"/>
  <c r="P140" i="15" s="1"/>
  <c r="P141" i="15" s="1"/>
  <c r="P142" i="15" s="1"/>
  <c r="P143" i="15" s="1"/>
  <c r="P144" i="15" s="1"/>
  <c r="P145" i="15" s="1"/>
  <c r="P146" i="15" s="1"/>
  <c r="P147" i="15" s="1"/>
  <c r="P148" i="15" s="1"/>
  <c r="P149" i="15" s="1"/>
  <c r="P150" i="15" s="1"/>
  <c r="P151" i="15" s="1"/>
  <c r="P152" i="15" s="1"/>
  <c r="P153" i="15" s="1"/>
  <c r="P154" i="15" s="1"/>
  <c r="P155" i="15" s="1"/>
  <c r="P156" i="15" s="1"/>
  <c r="P157" i="15" s="1"/>
  <c r="P158" i="15" s="1"/>
  <c r="P159" i="15" s="1"/>
  <c r="P160" i="15" s="1"/>
  <c r="P161" i="15" s="1"/>
  <c r="P162" i="15" s="1"/>
  <c r="P163" i="15" s="1"/>
  <c r="P164" i="15" s="1"/>
  <c r="P165" i="15" s="1"/>
  <c r="P166" i="15" s="1"/>
  <c r="P167" i="15" s="1"/>
  <c r="P168" i="15" s="1"/>
  <c r="P169" i="15" s="1"/>
  <c r="P170" i="15" s="1"/>
  <c r="P171" i="15" s="1"/>
  <c r="P172" i="15" s="1"/>
  <c r="P173" i="15" s="1"/>
  <c r="P174" i="15" s="1"/>
  <c r="P175" i="15" s="1"/>
  <c r="P176" i="15" s="1"/>
  <c r="P177" i="15" s="1"/>
  <c r="P178" i="15" s="1"/>
  <c r="P179" i="15" s="1"/>
  <c r="P180" i="15" s="1"/>
  <c r="P181" i="15" s="1"/>
  <c r="P182" i="15" s="1"/>
  <c r="P183" i="15" s="1"/>
  <c r="P184" i="15" s="1"/>
  <c r="P185" i="15" s="1"/>
  <c r="P186" i="15" s="1"/>
  <c r="P187" i="15" s="1"/>
  <c r="P188" i="15" s="1"/>
  <c r="P189" i="15" s="1"/>
  <c r="P190" i="15" s="1"/>
  <c r="P191" i="15" s="1"/>
  <c r="P192" i="15" s="1"/>
  <c r="P193" i="15" s="1"/>
  <c r="P194" i="15" s="1"/>
  <c r="P195" i="15" s="1"/>
  <c r="P196" i="15" s="1"/>
  <c r="P197" i="15" s="1"/>
  <c r="P198" i="15" s="1"/>
  <c r="P199" i="15" s="1"/>
  <c r="P200" i="15" s="1"/>
  <c r="P201" i="15" s="1"/>
  <c r="P202" i="15" s="1"/>
  <c r="P203" i="15" s="1"/>
  <c r="P204" i="15" s="1"/>
  <c r="P205" i="15" s="1"/>
  <c r="P206" i="15" s="1"/>
  <c r="P207" i="15" s="1"/>
  <c r="P208" i="15" s="1"/>
  <c r="P209" i="15" s="1"/>
  <c r="P210" i="15" s="1"/>
  <c r="P211" i="15" s="1"/>
  <c r="P212" i="15" s="1"/>
  <c r="B74" i="27" l="1"/>
  <c r="B75" i="27" s="1"/>
  <c r="B83" i="27" s="1"/>
  <c r="I68" i="27"/>
  <c r="H68" i="27"/>
  <c r="H69" i="27"/>
  <c r="H70" i="27"/>
  <c r="F70" i="27"/>
  <c r="B92" i="27"/>
  <c r="F69" i="27"/>
  <c r="B91" i="27"/>
  <c r="C91" i="27" s="1"/>
  <c r="D91" i="27" s="1"/>
  <c r="F68" i="27"/>
  <c r="B90" i="27"/>
  <c r="C90" i="27" s="1"/>
  <c r="D90" i="27" s="1"/>
  <c r="H13" i="28"/>
  <c r="H11" i="28"/>
  <c r="C92" i="27"/>
  <c r="D92" i="27" s="1"/>
  <c r="B94" i="27"/>
  <c r="C94" i="27" s="1"/>
  <c r="D94" i="27" s="1"/>
  <c r="F93" i="27"/>
  <c r="D7" i="27" s="1"/>
  <c r="D11" i="27" s="1"/>
  <c r="F72" i="27"/>
  <c r="B78" i="27"/>
  <c r="I71" i="27"/>
  <c r="I69" i="27"/>
  <c r="I70" i="27"/>
  <c r="B77" i="27"/>
  <c r="H72" i="27" l="1"/>
  <c r="I11" i="28"/>
  <c r="J11" i="28" s="1"/>
  <c r="I9" i="28"/>
  <c r="J9" i="28" s="1"/>
  <c r="B82" i="27"/>
  <c r="D13" i="27" s="1"/>
  <c r="C93" i="27"/>
  <c r="D93" i="27" s="1"/>
  <c r="D6" i="27" s="1"/>
  <c r="D10" i="27" s="1"/>
  <c r="B93" i="27"/>
  <c r="I72" i="27"/>
  <c r="B79" i="27"/>
  <c r="B81" i="27" s="1"/>
  <c r="D15" i="27" s="1"/>
  <c r="L14" i="20"/>
  <c r="L22" i="20" s="1"/>
  <c r="L16" i="20"/>
  <c r="L18" i="20"/>
  <c r="L20" i="20"/>
  <c r="I6" i="28" l="1"/>
  <c r="J6" i="28" s="1"/>
  <c r="I13" i="28"/>
  <c r="J13" i="28" s="1"/>
  <c r="D14" i="27"/>
  <c r="I37" i="20"/>
  <c r="I26" i="20"/>
  <c r="G16" i="20"/>
  <c r="G18" i="20" s="1"/>
  <c r="G8" i="20" s="1"/>
  <c r="G12" i="20"/>
  <c r="G9" i="20"/>
  <c r="B13" i="20"/>
  <c r="B7" i="20"/>
  <c r="I10" i="20" l="1"/>
  <c r="I12" i="20" s="1"/>
  <c r="I18" i="20"/>
  <c r="I20" i="20" s="1"/>
  <c r="I30" i="20"/>
  <c r="G17" i="20"/>
  <c r="G11" i="20"/>
  <c r="I11" i="20" l="1"/>
  <c r="I17" i="20"/>
  <c r="I21" i="20"/>
  <c r="I9" i="20"/>
  <c r="I13" i="20"/>
  <c r="I19" i="20"/>
  <c r="F23" i="12" l="1"/>
  <c r="AT3" i="15" s="1"/>
  <c r="C6" i="18"/>
  <c r="D6" i="18"/>
  <c r="N12" i="28" l="1"/>
  <c r="P12" i="28" s="1"/>
  <c r="N8" i="28"/>
  <c r="P8" i="28" s="1"/>
  <c r="K3" i="15"/>
  <c r="L3" i="15"/>
  <c r="B122" i="23"/>
  <c r="B123" i="23" s="1"/>
  <c r="B124" i="23" s="1"/>
  <c r="B125" i="23" s="1"/>
  <c r="B126" i="23" s="1"/>
  <c r="B127" i="23" s="1"/>
  <c r="B128" i="23" s="1"/>
  <c r="B129" i="23" s="1"/>
  <c r="B130" i="23" s="1"/>
  <c r="B131" i="23" s="1"/>
  <c r="B132" i="23" s="1"/>
  <c r="B133" i="23" s="1"/>
  <c r="B134" i="23" s="1"/>
  <c r="B135" i="23" s="1"/>
  <c r="B136" i="23" s="1"/>
  <c r="B137" i="23" s="1"/>
  <c r="B138" i="23" s="1"/>
  <c r="B139" i="23" s="1"/>
  <c r="B140" i="23" s="1"/>
  <c r="B141" i="23" s="1"/>
  <c r="B142" i="23" s="1"/>
  <c r="B143" i="23" s="1"/>
  <c r="B144" i="23" s="1"/>
  <c r="B145" i="23" s="1"/>
  <c r="B146" i="23" s="1"/>
  <c r="B147" i="23" s="1"/>
  <c r="B148" i="23" s="1"/>
  <c r="B149" i="23" s="1"/>
  <c r="B150" i="23" s="1"/>
  <c r="B151" i="23" s="1"/>
  <c r="B152" i="23" s="1"/>
  <c r="B153" i="23" s="1"/>
  <c r="B154" i="23" s="1"/>
  <c r="B155" i="23" s="1"/>
  <c r="B156" i="23" s="1"/>
  <c r="B157" i="23" s="1"/>
  <c r="B158" i="23" s="1"/>
  <c r="B159" i="23" s="1"/>
  <c r="B160" i="23" s="1"/>
  <c r="B161" i="23" s="1"/>
  <c r="B162" i="23" s="1"/>
  <c r="B163" i="23" s="1"/>
  <c r="B164" i="23" s="1"/>
  <c r="B165" i="23" s="1"/>
  <c r="B166" i="23" s="1"/>
  <c r="B167" i="23" s="1"/>
  <c r="B168" i="23" s="1"/>
  <c r="B169" i="23" s="1"/>
  <c r="B170" i="23" s="1"/>
  <c r="B171" i="23" s="1"/>
  <c r="B12" i="28" l="1"/>
  <c r="D12" i="28" s="1"/>
  <c r="B8" i="28"/>
  <c r="D8" i="28" s="1"/>
  <c r="B13" i="28"/>
  <c r="D13" i="28" s="1"/>
  <c r="B9" i="28"/>
  <c r="D9" i="28" s="1"/>
  <c r="A124" i="20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E6" i="18" l="1"/>
  <c r="E5" i="18"/>
  <c r="D5" i="18"/>
  <c r="AE3" i="15" l="1"/>
  <c r="C5" i="18"/>
  <c r="B17" i="20" s="1"/>
  <c r="B19" i="20" l="1"/>
  <c r="D36" i="20" s="1"/>
  <c r="C36" i="20" s="1"/>
  <c r="G5" i="18"/>
  <c r="H8" i="28"/>
  <c r="J8" i="28" s="1"/>
  <c r="H12" i="28"/>
  <c r="J12" i="28" s="1"/>
  <c r="B55" i="27"/>
  <c r="E8" i="23"/>
  <c r="C14" i="23" s="1"/>
  <c r="G6" i="18"/>
  <c r="D161" i="20" l="1"/>
  <c r="C161" i="20" s="1"/>
  <c r="D103" i="20"/>
  <c r="C103" i="20" s="1"/>
  <c r="D167" i="20"/>
  <c r="C167" i="20" s="1"/>
  <c r="D112" i="20"/>
  <c r="C112" i="20" s="1"/>
  <c r="D33" i="20"/>
  <c r="C33" i="20" s="1"/>
  <c r="D50" i="20"/>
  <c r="C50" i="20" s="1"/>
  <c r="D97" i="20"/>
  <c r="C97" i="20" s="1"/>
  <c r="D39" i="20"/>
  <c r="C39" i="20" s="1"/>
  <c r="D172" i="20"/>
  <c r="C172" i="20" s="1"/>
  <c r="D113" i="20"/>
  <c r="C113" i="20" s="1"/>
  <c r="D49" i="20"/>
  <c r="C49" i="20" s="1"/>
  <c r="D54" i="20"/>
  <c r="C54" i="20" s="1"/>
  <c r="D119" i="20"/>
  <c r="C119" i="20" s="1"/>
  <c r="D55" i="20"/>
  <c r="C55" i="20" s="1"/>
  <c r="D90" i="20"/>
  <c r="C90" i="20" s="1"/>
  <c r="D128" i="20"/>
  <c r="C128" i="20" s="1"/>
  <c r="D32" i="20"/>
  <c r="C32" i="20" s="1"/>
  <c r="D58" i="20"/>
  <c r="C58" i="20" s="1"/>
  <c r="D129" i="20"/>
  <c r="C129" i="20" s="1"/>
  <c r="D65" i="20"/>
  <c r="C65" i="20" s="1"/>
  <c r="D102" i="20"/>
  <c r="C102" i="20" s="1"/>
  <c r="D135" i="20"/>
  <c r="C135" i="20" s="1"/>
  <c r="D71" i="20"/>
  <c r="C71" i="20" s="1"/>
  <c r="D126" i="20"/>
  <c r="C126" i="20" s="1"/>
  <c r="D144" i="20"/>
  <c r="C144" i="20" s="1"/>
  <c r="D60" i="20"/>
  <c r="C60" i="20" s="1"/>
  <c r="D114" i="20"/>
  <c r="C114" i="20" s="1"/>
  <c r="D145" i="20"/>
  <c r="C145" i="20" s="1"/>
  <c r="D81" i="20"/>
  <c r="C81" i="20" s="1"/>
  <c r="D158" i="20"/>
  <c r="C158" i="20" s="1"/>
  <c r="D151" i="20"/>
  <c r="C151" i="20" s="1"/>
  <c r="D87" i="20"/>
  <c r="C87" i="20" s="1"/>
  <c r="D166" i="20"/>
  <c r="C166" i="20" s="1"/>
  <c r="D160" i="20"/>
  <c r="C160" i="20" s="1"/>
  <c r="D92" i="20"/>
  <c r="C92" i="20" s="1"/>
  <c r="D74" i="20"/>
  <c r="C74" i="20" s="1"/>
  <c r="D165" i="20"/>
  <c r="C165" i="20" s="1"/>
  <c r="D117" i="20"/>
  <c r="C117" i="20" s="1"/>
  <c r="D85" i="20"/>
  <c r="C85" i="20" s="1"/>
  <c r="D53" i="20"/>
  <c r="C53" i="20" s="1"/>
  <c r="D170" i="20"/>
  <c r="C170" i="20" s="1"/>
  <c r="D66" i="20"/>
  <c r="C66" i="20" s="1"/>
  <c r="D155" i="20"/>
  <c r="C155" i="20" s="1"/>
  <c r="D123" i="20"/>
  <c r="C123" i="20" s="1"/>
  <c r="D107" i="20"/>
  <c r="C107" i="20" s="1"/>
  <c r="D75" i="20"/>
  <c r="C75" i="20" s="1"/>
  <c r="D59" i="20"/>
  <c r="C59" i="20" s="1"/>
  <c r="D43" i="20"/>
  <c r="C43" i="20" s="1"/>
  <c r="D138" i="20"/>
  <c r="C138" i="20" s="1"/>
  <c r="D98" i="20"/>
  <c r="C98" i="20" s="1"/>
  <c r="D62" i="20"/>
  <c r="C62" i="20" s="1"/>
  <c r="D164" i="20"/>
  <c r="C164" i="20" s="1"/>
  <c r="D148" i="20"/>
  <c r="C148" i="20" s="1"/>
  <c r="D132" i="20"/>
  <c r="C132" i="20" s="1"/>
  <c r="D116" i="20"/>
  <c r="C116" i="20" s="1"/>
  <c r="D96" i="20"/>
  <c r="C96" i="20" s="1"/>
  <c r="D72" i="20"/>
  <c r="C72" i="20" s="1"/>
  <c r="D40" i="20"/>
  <c r="C40" i="20" s="1"/>
  <c r="D38" i="20"/>
  <c r="C38" i="20" s="1"/>
  <c r="D153" i="20"/>
  <c r="C153" i="20" s="1"/>
  <c r="D121" i="20"/>
  <c r="C121" i="20" s="1"/>
  <c r="D89" i="20"/>
  <c r="C89" i="20" s="1"/>
  <c r="D73" i="20"/>
  <c r="C73" i="20" s="1"/>
  <c r="D57" i="20"/>
  <c r="C57" i="20" s="1"/>
  <c r="D25" i="20"/>
  <c r="C25" i="20" s="1"/>
  <c r="D130" i="20"/>
  <c r="C130" i="20" s="1"/>
  <c r="D78" i="20"/>
  <c r="C78" i="20" s="1"/>
  <c r="D30" i="20"/>
  <c r="C30" i="20" s="1"/>
  <c r="D159" i="20"/>
  <c r="C159" i="20" s="1"/>
  <c r="D143" i="20"/>
  <c r="C143" i="20" s="1"/>
  <c r="D127" i="20"/>
  <c r="C127" i="20" s="1"/>
  <c r="D111" i="20"/>
  <c r="C111" i="20" s="1"/>
  <c r="D95" i="20"/>
  <c r="C95" i="20" s="1"/>
  <c r="D79" i="20"/>
  <c r="C79" i="20" s="1"/>
  <c r="D63" i="20"/>
  <c r="C63" i="20" s="1"/>
  <c r="D47" i="20"/>
  <c r="C47" i="20" s="1"/>
  <c r="D31" i="20"/>
  <c r="C31" i="20" s="1"/>
  <c r="D150" i="20"/>
  <c r="C150" i="20" s="1"/>
  <c r="D110" i="20"/>
  <c r="C110" i="20" s="1"/>
  <c r="D70" i="20"/>
  <c r="C70" i="20" s="1"/>
  <c r="D168" i="20"/>
  <c r="C168" i="20" s="1"/>
  <c r="D152" i="20"/>
  <c r="C152" i="20" s="1"/>
  <c r="D136" i="20"/>
  <c r="C136" i="20" s="1"/>
  <c r="D120" i="20"/>
  <c r="C120" i="20" s="1"/>
  <c r="D104" i="20"/>
  <c r="C104" i="20" s="1"/>
  <c r="D76" i="20"/>
  <c r="C76" i="20" s="1"/>
  <c r="D48" i="20"/>
  <c r="C48" i="20" s="1"/>
  <c r="D24" i="20"/>
  <c r="C24" i="20" s="1"/>
  <c r="D134" i="20"/>
  <c r="C134" i="20" s="1"/>
  <c r="D26" i="20"/>
  <c r="C26" i="20" s="1"/>
  <c r="D149" i="20"/>
  <c r="C149" i="20" s="1"/>
  <c r="D133" i="20"/>
  <c r="C133" i="20" s="1"/>
  <c r="D101" i="20"/>
  <c r="C101" i="20" s="1"/>
  <c r="D69" i="20"/>
  <c r="C69" i="20" s="1"/>
  <c r="D37" i="20"/>
  <c r="C37" i="20" s="1"/>
  <c r="D118" i="20"/>
  <c r="C118" i="20" s="1"/>
  <c r="D171" i="20"/>
  <c r="C171" i="20" s="1"/>
  <c r="D139" i="20"/>
  <c r="C139" i="20" s="1"/>
  <c r="D91" i="20"/>
  <c r="C91" i="20" s="1"/>
  <c r="D27" i="20"/>
  <c r="C27" i="20" s="1"/>
  <c r="D146" i="20"/>
  <c r="C146" i="20" s="1"/>
  <c r="D94" i="20"/>
  <c r="C94" i="20" s="1"/>
  <c r="D169" i="20"/>
  <c r="C169" i="20" s="1"/>
  <c r="D137" i="20"/>
  <c r="C137" i="20" s="1"/>
  <c r="D105" i="20"/>
  <c r="C105" i="20" s="1"/>
  <c r="D41" i="20"/>
  <c r="C41" i="20" s="1"/>
  <c r="D162" i="20"/>
  <c r="C162" i="20" s="1"/>
  <c r="D106" i="20"/>
  <c r="C106" i="20" s="1"/>
  <c r="D46" i="20"/>
  <c r="C46" i="20" s="1"/>
  <c r="D173" i="20"/>
  <c r="C173" i="20" s="1"/>
  <c r="D157" i="20"/>
  <c r="C157" i="20" s="1"/>
  <c r="D141" i="20"/>
  <c r="C141" i="20" s="1"/>
  <c r="D125" i="20"/>
  <c r="C125" i="20" s="1"/>
  <c r="D109" i="20"/>
  <c r="C109" i="20" s="1"/>
  <c r="D93" i="20"/>
  <c r="C93" i="20" s="1"/>
  <c r="D77" i="20"/>
  <c r="C77" i="20" s="1"/>
  <c r="D61" i="20"/>
  <c r="C61" i="20" s="1"/>
  <c r="D45" i="20"/>
  <c r="C45" i="20" s="1"/>
  <c r="D29" i="20"/>
  <c r="C29" i="20" s="1"/>
  <c r="D142" i="20"/>
  <c r="C142" i="20" s="1"/>
  <c r="D86" i="20"/>
  <c r="C86" i="20" s="1"/>
  <c r="D42" i="20"/>
  <c r="C42" i="20" s="1"/>
  <c r="D163" i="20"/>
  <c r="C163" i="20" s="1"/>
  <c r="D147" i="20"/>
  <c r="C147" i="20" s="1"/>
  <c r="D131" i="20"/>
  <c r="C131" i="20" s="1"/>
  <c r="D115" i="20"/>
  <c r="C115" i="20" s="1"/>
  <c r="D99" i="20"/>
  <c r="C99" i="20" s="1"/>
  <c r="D83" i="20"/>
  <c r="C83" i="20" s="1"/>
  <c r="D67" i="20"/>
  <c r="C67" i="20" s="1"/>
  <c r="D51" i="20"/>
  <c r="C51" i="20" s="1"/>
  <c r="D35" i="20"/>
  <c r="C35" i="20" s="1"/>
  <c r="D154" i="20"/>
  <c r="C154" i="20" s="1"/>
  <c r="D122" i="20"/>
  <c r="C122" i="20" s="1"/>
  <c r="D82" i="20"/>
  <c r="C82" i="20" s="1"/>
  <c r="D34" i="20"/>
  <c r="C34" i="20" s="1"/>
  <c r="D156" i="20"/>
  <c r="C156" i="20" s="1"/>
  <c r="D140" i="20"/>
  <c r="C140" i="20" s="1"/>
  <c r="D124" i="20"/>
  <c r="C124" i="20" s="1"/>
  <c r="D108" i="20"/>
  <c r="C108" i="20" s="1"/>
  <c r="D80" i="20"/>
  <c r="C80" i="20" s="1"/>
  <c r="D56" i="20"/>
  <c r="C56" i="20" s="1"/>
  <c r="D28" i="20"/>
  <c r="C28" i="20" s="1"/>
  <c r="D88" i="20"/>
  <c r="C88" i="20" s="1"/>
  <c r="D64" i="20"/>
  <c r="C64" i="20" s="1"/>
  <c r="D44" i="20"/>
  <c r="C44" i="20" s="1"/>
  <c r="D100" i="20"/>
  <c r="C100" i="20" s="1"/>
  <c r="D84" i="20"/>
  <c r="C84" i="20" s="1"/>
  <c r="D68" i="20"/>
  <c r="C68" i="20" s="1"/>
  <c r="D52" i="20"/>
  <c r="C52" i="20" s="1"/>
  <c r="C59" i="27"/>
  <c r="B58" i="27"/>
  <c r="B60" i="27"/>
  <c r="C60" i="27"/>
  <c r="B59" i="27"/>
  <c r="C58" i="27"/>
  <c r="H8" i="12"/>
  <c r="E9" i="23"/>
  <c r="H7" i="12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C62" i="27" l="1"/>
  <c r="B48" i="27" s="1"/>
  <c r="B52" i="27" s="1"/>
  <c r="C37" i="27" s="1"/>
  <c r="B62" i="27"/>
  <c r="B47" i="27" s="1"/>
  <c r="B51" i="27" s="1"/>
  <c r="C38" i="27" s="1"/>
  <c r="C15" i="23"/>
  <c r="C16" i="23" s="1"/>
  <c r="C10" i="28" l="1"/>
  <c r="D10" i="28" s="1"/>
  <c r="C14" i="28"/>
  <c r="C6" i="28"/>
  <c r="D6" i="28" s="1"/>
  <c r="C16" i="28"/>
  <c r="C48" i="27"/>
  <c r="C52" i="27" s="1"/>
  <c r="D37" i="27" s="1"/>
  <c r="C15" i="28" s="1"/>
  <c r="C47" i="27"/>
  <c r="C51" i="27" s="1"/>
  <c r="D38" i="27" s="1"/>
  <c r="C17" i="28" s="1"/>
  <c r="D31" i="23"/>
  <c r="H15" i="22" s="1"/>
  <c r="D147" i="23"/>
  <c r="H131" i="22" s="1"/>
  <c r="D112" i="23"/>
  <c r="H96" i="22" s="1"/>
  <c r="D154" i="23"/>
  <c r="H138" i="22" s="1"/>
  <c r="D153" i="23"/>
  <c r="H137" i="22" s="1"/>
  <c r="D35" i="23"/>
  <c r="H19" i="22" s="1"/>
  <c r="D169" i="23"/>
  <c r="H153" i="22" s="1"/>
  <c r="D115" i="23"/>
  <c r="H99" i="22" s="1"/>
  <c r="D160" i="23"/>
  <c r="H144" i="22" s="1"/>
  <c r="D57" i="23"/>
  <c r="H41" i="22" s="1"/>
  <c r="D138" i="23"/>
  <c r="H122" i="22" s="1"/>
  <c r="D132" i="23"/>
  <c r="H116" i="22" s="1"/>
  <c r="D52" i="23"/>
  <c r="H36" i="22" s="1"/>
  <c r="D141" i="23"/>
  <c r="H125" i="22" s="1"/>
  <c r="D77" i="23"/>
  <c r="H61" i="22" s="1"/>
  <c r="D146" i="23"/>
  <c r="H130" i="22" s="1"/>
  <c r="D151" i="23"/>
  <c r="H135" i="22" s="1"/>
  <c r="D87" i="23"/>
  <c r="H71" i="22" s="1"/>
  <c r="D170" i="23"/>
  <c r="H154" i="22" s="1"/>
  <c r="D54" i="23"/>
  <c r="H38" i="22" s="1"/>
  <c r="D136" i="23"/>
  <c r="H120" i="22" s="1"/>
  <c r="D72" i="23"/>
  <c r="H56" i="22" s="1"/>
  <c r="D161" i="23"/>
  <c r="H145" i="22" s="1"/>
  <c r="D97" i="23"/>
  <c r="H81" i="22" s="1"/>
  <c r="D33" i="23"/>
  <c r="H17" i="22" s="1"/>
  <c r="D171" i="23"/>
  <c r="H155" i="22" s="1"/>
  <c r="D107" i="23"/>
  <c r="H91" i="22" s="1"/>
  <c r="D43" i="23"/>
  <c r="H27" i="22" s="1"/>
  <c r="D50" i="23"/>
  <c r="H34" i="22" s="1"/>
  <c r="D150" i="23"/>
  <c r="H134" i="22" s="1"/>
  <c r="D42" i="23"/>
  <c r="H26" i="22" s="1"/>
  <c r="D124" i="23"/>
  <c r="H108" i="22" s="1"/>
  <c r="D60" i="23"/>
  <c r="H44" i="22" s="1"/>
  <c r="D149" i="23"/>
  <c r="H133" i="22" s="1"/>
  <c r="D85" i="23"/>
  <c r="H69" i="22" s="1"/>
  <c r="D166" i="23"/>
  <c r="H150" i="22" s="1"/>
  <c r="D159" i="23"/>
  <c r="H143" i="22" s="1"/>
  <c r="D95" i="23"/>
  <c r="H79" i="22" s="1"/>
  <c r="D137" i="23"/>
  <c r="H121" i="22" s="1"/>
  <c r="D83" i="23"/>
  <c r="H67" i="22" s="1"/>
  <c r="D64" i="23"/>
  <c r="H48" i="22" s="1"/>
  <c r="D80" i="23"/>
  <c r="H64" i="22" s="1"/>
  <c r="D98" i="23"/>
  <c r="H82" i="22" s="1"/>
  <c r="D67" i="23"/>
  <c r="H51" i="22" s="1"/>
  <c r="D84" i="23"/>
  <c r="H68" i="22" s="1"/>
  <c r="D93" i="23"/>
  <c r="H77" i="22" s="1"/>
  <c r="D167" i="23"/>
  <c r="H151" i="22" s="1"/>
  <c r="D39" i="23"/>
  <c r="H23" i="22" s="1"/>
  <c r="D152" i="23"/>
  <c r="H136" i="22" s="1"/>
  <c r="D24" i="23"/>
  <c r="H8" i="22" s="1"/>
  <c r="D49" i="23"/>
  <c r="H33" i="22" s="1"/>
  <c r="D123" i="23"/>
  <c r="H107" i="22" s="1"/>
  <c r="D106" i="23"/>
  <c r="H90" i="22" s="1"/>
  <c r="D62" i="23"/>
  <c r="H46" i="22" s="1"/>
  <c r="D76" i="23"/>
  <c r="H60" i="22" s="1"/>
  <c r="D101" i="23"/>
  <c r="H85" i="22" s="1"/>
  <c r="D58" i="23"/>
  <c r="H42" i="22" s="1"/>
  <c r="D47" i="23"/>
  <c r="H31" i="22" s="1"/>
  <c r="D130" i="23"/>
  <c r="H114" i="22" s="1"/>
  <c r="D73" i="23"/>
  <c r="H57" i="22" s="1"/>
  <c r="D128" i="23"/>
  <c r="H112" i="22" s="1"/>
  <c r="D144" i="23"/>
  <c r="H128" i="22" s="1"/>
  <c r="D41" i="23"/>
  <c r="H25" i="22" s="1"/>
  <c r="D237" i="15" s="1"/>
  <c r="D32" i="23"/>
  <c r="H16" i="22" s="1"/>
  <c r="D34" i="23"/>
  <c r="H18" i="22" s="1"/>
  <c r="D22" i="23"/>
  <c r="H6" i="22" s="1"/>
  <c r="D45" i="23"/>
  <c r="H29" i="22" s="1"/>
  <c r="D119" i="23"/>
  <c r="H103" i="22" s="1"/>
  <c r="D114" i="23"/>
  <c r="H98" i="22" s="1"/>
  <c r="D104" i="23"/>
  <c r="H88" i="22" s="1"/>
  <c r="D129" i="23"/>
  <c r="H113" i="22" s="1"/>
  <c r="D118" i="23"/>
  <c r="H102" i="22" s="1"/>
  <c r="D75" i="23"/>
  <c r="H59" i="22" s="1"/>
  <c r="D68" i="23"/>
  <c r="H52" i="22" s="1"/>
  <c r="D156" i="23"/>
  <c r="H140" i="22" s="1"/>
  <c r="D28" i="23"/>
  <c r="H12" i="22" s="1"/>
  <c r="D53" i="23"/>
  <c r="H37" i="22" s="1"/>
  <c r="D127" i="23"/>
  <c r="H111" i="22" s="1"/>
  <c r="D134" i="23"/>
  <c r="H118" i="22" s="1"/>
  <c r="D30" i="23"/>
  <c r="H14" i="22" s="1"/>
  <c r="D46" i="23"/>
  <c r="H30" i="22" s="1"/>
  <c r="D89" i="23"/>
  <c r="H73" i="22" s="1"/>
  <c r="D66" i="23"/>
  <c r="H50" i="22" s="1"/>
  <c r="D105" i="23"/>
  <c r="H89" i="22" s="1"/>
  <c r="D51" i="23"/>
  <c r="H35" i="22" s="1"/>
  <c r="D96" i="23"/>
  <c r="H80" i="22" s="1"/>
  <c r="D102" i="23"/>
  <c r="H86" i="22" s="1"/>
  <c r="D74" i="23"/>
  <c r="H58" i="22" s="1"/>
  <c r="D116" i="23"/>
  <c r="H100" i="22" s="1"/>
  <c r="D36" i="23"/>
  <c r="H20" i="22" s="1"/>
  <c r="C237" i="15" s="1"/>
  <c r="D125" i="23"/>
  <c r="H109" i="22" s="1"/>
  <c r="D61" i="23"/>
  <c r="H45" i="22" s="1"/>
  <c r="D110" i="23"/>
  <c r="H94" i="22" s="1"/>
  <c r="D135" i="23"/>
  <c r="H119" i="22" s="1"/>
  <c r="D71" i="23"/>
  <c r="H55" i="22" s="1"/>
  <c r="E237" i="15" s="1"/>
  <c r="D142" i="23"/>
  <c r="H126" i="22" s="1"/>
  <c r="D38" i="23"/>
  <c r="H22" i="22" s="1"/>
  <c r="D120" i="23"/>
  <c r="H104" i="22" s="1"/>
  <c r="D56" i="23"/>
  <c r="H40" i="22" s="1"/>
  <c r="D145" i="23"/>
  <c r="H129" i="22" s="1"/>
  <c r="D81" i="23"/>
  <c r="H65" i="22" s="1"/>
  <c r="D158" i="23"/>
  <c r="H142" i="22" s="1"/>
  <c r="D155" i="23"/>
  <c r="H139" i="22" s="1"/>
  <c r="D91" i="23"/>
  <c r="H75" i="22" s="1"/>
  <c r="D27" i="23"/>
  <c r="H11" i="22" s="1"/>
  <c r="D148" i="23"/>
  <c r="H132" i="22" s="1"/>
  <c r="D122" i="23"/>
  <c r="H106" i="22" s="1"/>
  <c r="D26" i="23"/>
  <c r="H10" i="22" s="1"/>
  <c r="D108" i="23"/>
  <c r="H92" i="22" s="1"/>
  <c r="D44" i="23"/>
  <c r="H28" i="22" s="1"/>
  <c r="D133" i="23"/>
  <c r="H117" i="22" s="1"/>
  <c r="D69" i="23"/>
  <c r="H53" i="22" s="1"/>
  <c r="D126" i="23"/>
  <c r="H110" i="22" s="1"/>
  <c r="D143" i="23"/>
  <c r="H127" i="22" s="1"/>
  <c r="D79" i="23"/>
  <c r="H63" i="22" s="1"/>
  <c r="D48" i="23"/>
  <c r="H32" i="22" s="1"/>
  <c r="D163" i="23"/>
  <c r="H147" i="22" s="1"/>
  <c r="D70" i="23"/>
  <c r="H54" i="22" s="1"/>
  <c r="D121" i="23"/>
  <c r="H105" i="22" s="1"/>
  <c r="F237" i="15" s="1"/>
  <c r="D164" i="23"/>
  <c r="H148" i="22" s="1"/>
  <c r="D157" i="23"/>
  <c r="H141" i="22" s="1"/>
  <c r="D29" i="23"/>
  <c r="H13" i="22" s="1"/>
  <c r="D103" i="23"/>
  <c r="H87" i="22" s="1"/>
  <c r="D82" i="23"/>
  <c r="H66" i="22" s="1"/>
  <c r="D88" i="23"/>
  <c r="H72" i="22" s="1"/>
  <c r="D113" i="23"/>
  <c r="H97" i="22" s="1"/>
  <c r="D86" i="23"/>
  <c r="H70" i="22" s="1"/>
  <c r="D59" i="23"/>
  <c r="H43" i="22" s="1"/>
  <c r="D23" i="23"/>
  <c r="H7" i="22" s="1"/>
  <c r="D140" i="23"/>
  <c r="H124" i="22" s="1"/>
  <c r="D165" i="23"/>
  <c r="H149" i="22" s="1"/>
  <c r="D37" i="23"/>
  <c r="H21" i="22" s="1"/>
  <c r="D111" i="23"/>
  <c r="H95" i="22" s="1"/>
  <c r="D25" i="23"/>
  <c r="H9" i="22" s="1"/>
  <c r="D99" i="23"/>
  <c r="H83" i="22" s="1"/>
  <c r="D131" i="23"/>
  <c r="H115" i="22" s="1"/>
  <c r="D100" i="23"/>
  <c r="H84" i="22" s="1"/>
  <c r="D109" i="23"/>
  <c r="H93" i="22" s="1"/>
  <c r="D78" i="23"/>
  <c r="H62" i="22" s="1"/>
  <c r="D55" i="23"/>
  <c r="H39" i="22" s="1"/>
  <c r="D168" i="23"/>
  <c r="H152" i="22" s="1"/>
  <c r="D40" i="23"/>
  <c r="H24" i="22" s="1"/>
  <c r="D65" i="23"/>
  <c r="H49" i="22" s="1"/>
  <c r="D139" i="23"/>
  <c r="H123" i="22" s="1"/>
  <c r="D162" i="23"/>
  <c r="H146" i="22" s="1"/>
  <c r="D90" i="23"/>
  <c r="H74" i="22" s="1"/>
  <c r="D92" i="23"/>
  <c r="H76" i="22" s="1"/>
  <c r="D117" i="23"/>
  <c r="H101" i="22" s="1"/>
  <c r="D94" i="23"/>
  <c r="H78" i="22" s="1"/>
  <c r="D63" i="23"/>
  <c r="H47" i="22" s="1"/>
  <c r="P23" i="12"/>
  <c r="O23" i="12" l="1"/>
  <c r="R23" i="12"/>
  <c r="Q23" i="12"/>
  <c r="A4" i="8" l="1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4" i="1"/>
  <c r="A5" i="1" s="1"/>
  <c r="M3" i="1"/>
  <c r="N3" i="1"/>
  <c r="O3" i="1"/>
  <c r="P3" i="1"/>
  <c r="L3" i="1"/>
  <c r="H3" i="1"/>
  <c r="I3" i="1"/>
  <c r="J3" i="1"/>
  <c r="K3" i="1"/>
  <c r="G3" i="1"/>
  <c r="K4" i="1"/>
  <c r="B3" i="1"/>
  <c r="F3" i="1"/>
  <c r="C3" i="1"/>
  <c r="D3" i="1"/>
  <c r="E3" i="1"/>
  <c r="C4" i="1"/>
  <c r="B4" i="1"/>
  <c r="D24" i="28" l="1"/>
  <c r="C24" i="28"/>
  <c r="AP4" i="15"/>
  <c r="AL4" i="15"/>
  <c r="AN4" i="15"/>
  <c r="BA4" i="15"/>
  <c r="U4" i="15"/>
  <c r="BE4" i="15"/>
  <c r="BC4" i="15"/>
  <c r="AA4" i="15"/>
  <c r="W4" i="15"/>
  <c r="AY4" i="15"/>
  <c r="AJ4" i="15"/>
  <c r="Y4" i="15"/>
  <c r="Q4" i="15"/>
  <c r="S4" i="15"/>
  <c r="BD4" i="15"/>
  <c r="AQ4" i="15"/>
  <c r="AM4" i="15"/>
  <c r="AO4" i="15"/>
  <c r="BB4" i="15"/>
  <c r="BF4" i="15"/>
  <c r="AB4" i="15"/>
  <c r="V4" i="15"/>
  <c r="X4" i="15"/>
  <c r="AZ4" i="15"/>
  <c r="AK4" i="15"/>
  <c r="R4" i="15"/>
  <c r="Z4" i="15"/>
  <c r="T4" i="15"/>
  <c r="E4" i="1"/>
  <c r="G4" i="1"/>
  <c r="F4" i="1"/>
  <c r="D4" i="1"/>
  <c r="D25" i="28" s="1"/>
  <c r="I4" i="1"/>
  <c r="O4" i="1"/>
  <c r="A5" i="8"/>
  <c r="A6" i="8" s="1"/>
  <c r="L4" i="8"/>
  <c r="J4" i="1"/>
  <c r="H4" i="1"/>
  <c r="L4" i="1"/>
  <c r="M4" i="1"/>
  <c r="O5" i="8"/>
  <c r="K5" i="8"/>
  <c r="G5" i="8"/>
  <c r="C5" i="8"/>
  <c r="N5" i="8"/>
  <c r="H5" i="8"/>
  <c r="D5" i="8"/>
  <c r="B4" i="8"/>
  <c r="D4" i="8"/>
  <c r="F4" i="8"/>
  <c r="H4" i="8"/>
  <c r="J4" i="8"/>
  <c r="N4" i="8"/>
  <c r="P4" i="8"/>
  <c r="C4" i="8"/>
  <c r="E4" i="8"/>
  <c r="G4" i="8"/>
  <c r="I4" i="8"/>
  <c r="K4" i="8"/>
  <c r="M4" i="8"/>
  <c r="O4" i="8"/>
  <c r="A6" i="1"/>
  <c r="M5" i="1"/>
  <c r="O5" i="1"/>
  <c r="L5" i="1"/>
  <c r="G5" i="1"/>
  <c r="I5" i="1"/>
  <c r="K5" i="1"/>
  <c r="F5" i="1"/>
  <c r="D5" i="1"/>
  <c r="N5" i="1"/>
  <c r="P5" i="1"/>
  <c r="H5" i="1"/>
  <c r="J5" i="1"/>
  <c r="B5" i="1"/>
  <c r="C5" i="1"/>
  <c r="E5" i="1"/>
  <c r="P4" i="1"/>
  <c r="N4" i="1"/>
  <c r="A7" i="1"/>
  <c r="M6" i="1"/>
  <c r="O6" i="1"/>
  <c r="L6" i="1"/>
  <c r="N6" i="1"/>
  <c r="P6" i="1"/>
  <c r="D26" i="28" l="1"/>
  <c r="C26" i="28"/>
  <c r="C25" i="28"/>
  <c r="AP5" i="15"/>
  <c r="BC5" i="15"/>
  <c r="AL5" i="15"/>
  <c r="BA5" i="15"/>
  <c r="AN5" i="15"/>
  <c r="BE5" i="15"/>
  <c r="AA5" i="15"/>
  <c r="U5" i="15"/>
  <c r="W5" i="15"/>
  <c r="AJ5" i="15"/>
  <c r="AY5" i="15"/>
  <c r="Q5" i="15"/>
  <c r="Y5" i="15"/>
  <c r="S5" i="15"/>
  <c r="AQ5" i="15"/>
  <c r="AM5" i="15"/>
  <c r="BB5" i="15"/>
  <c r="AB5" i="15"/>
  <c r="BD5" i="15"/>
  <c r="AO5" i="15"/>
  <c r="BF5" i="15"/>
  <c r="V5" i="15"/>
  <c r="X5" i="15"/>
  <c r="AK5" i="15"/>
  <c r="AZ5" i="15"/>
  <c r="R5" i="15"/>
  <c r="Z5" i="15"/>
  <c r="T5" i="15"/>
  <c r="G4" i="15"/>
  <c r="D4" i="15"/>
  <c r="F4" i="15"/>
  <c r="E4" i="15"/>
  <c r="B5" i="8"/>
  <c r="F5" i="8"/>
  <c r="J5" i="8"/>
  <c r="P5" i="8"/>
  <c r="E5" i="8"/>
  <c r="I5" i="8"/>
  <c r="AL6" i="15" s="1"/>
  <c r="M5" i="8"/>
  <c r="L6" i="8"/>
  <c r="L5" i="8"/>
  <c r="A7" i="8"/>
  <c r="O6" i="8"/>
  <c r="M6" i="8"/>
  <c r="K6" i="8"/>
  <c r="I6" i="8"/>
  <c r="G6" i="8"/>
  <c r="E6" i="8"/>
  <c r="C6" i="8"/>
  <c r="P6" i="8"/>
  <c r="N6" i="8"/>
  <c r="J6" i="8"/>
  <c r="H6" i="8"/>
  <c r="F6" i="8"/>
  <c r="D6" i="8"/>
  <c r="B6" i="8"/>
  <c r="H6" i="1"/>
  <c r="J6" i="1"/>
  <c r="D6" i="1"/>
  <c r="F6" i="1"/>
  <c r="G6" i="1"/>
  <c r="I6" i="1"/>
  <c r="K6" i="1"/>
  <c r="C6" i="1"/>
  <c r="E6" i="1"/>
  <c r="B6" i="1"/>
  <c r="M7" i="1"/>
  <c r="O7" i="1"/>
  <c r="L7" i="1"/>
  <c r="A8" i="1"/>
  <c r="N7" i="1"/>
  <c r="P7" i="1"/>
  <c r="G7" i="1"/>
  <c r="I7" i="1"/>
  <c r="K7" i="1"/>
  <c r="D7" i="1"/>
  <c r="F7" i="1"/>
  <c r="H7" i="1"/>
  <c r="J7" i="1"/>
  <c r="C7" i="1"/>
  <c r="E7" i="1"/>
  <c r="B7" i="1"/>
  <c r="D28" i="28" l="1"/>
  <c r="C28" i="28"/>
  <c r="D27" i="28"/>
  <c r="C27" i="28"/>
  <c r="S6" i="15"/>
  <c r="AA6" i="15"/>
  <c r="AY6" i="15"/>
  <c r="BA6" i="15"/>
  <c r="AJ6" i="15"/>
  <c r="AP6" i="15"/>
  <c r="BE6" i="15"/>
  <c r="E5" i="15"/>
  <c r="G5" i="15"/>
  <c r="F5" i="15"/>
  <c r="D5" i="15"/>
  <c r="Q6" i="15"/>
  <c r="W6" i="15"/>
  <c r="AN6" i="15"/>
  <c r="D6" i="15" s="1"/>
  <c r="BC6" i="15"/>
  <c r="BC7" i="15"/>
  <c r="AP7" i="15"/>
  <c r="AL7" i="15"/>
  <c r="BE7" i="15"/>
  <c r="AN7" i="15"/>
  <c r="AA7" i="15"/>
  <c r="U7" i="15"/>
  <c r="BA7" i="15"/>
  <c r="W7" i="15"/>
  <c r="AY7" i="15"/>
  <c r="AJ7" i="15"/>
  <c r="Y7" i="15"/>
  <c r="Q7" i="15"/>
  <c r="S7" i="15"/>
  <c r="BD6" i="15"/>
  <c r="AM6" i="15"/>
  <c r="AO6" i="15"/>
  <c r="BF6" i="15"/>
  <c r="AQ6" i="15"/>
  <c r="BB6" i="15"/>
  <c r="AB6" i="15"/>
  <c r="V6" i="15"/>
  <c r="X6" i="15"/>
  <c r="AZ6" i="15"/>
  <c r="AK6" i="15"/>
  <c r="R6" i="15"/>
  <c r="Z6" i="15"/>
  <c r="T6" i="15"/>
  <c r="AQ7" i="15"/>
  <c r="AM7" i="15"/>
  <c r="BB7" i="15"/>
  <c r="V7" i="15"/>
  <c r="AB7" i="15"/>
  <c r="AO7" i="15"/>
  <c r="BF7" i="15"/>
  <c r="BD7" i="15"/>
  <c r="X7" i="15"/>
  <c r="AZ7" i="15"/>
  <c r="AK7" i="15"/>
  <c r="R7" i="15"/>
  <c r="Z7" i="15"/>
  <c r="T7" i="15"/>
  <c r="Y6" i="15"/>
  <c r="U6" i="15"/>
  <c r="L7" i="8"/>
  <c r="A8" i="8"/>
  <c r="O7" i="8"/>
  <c r="M7" i="8"/>
  <c r="K7" i="8"/>
  <c r="I7" i="8"/>
  <c r="G7" i="8"/>
  <c r="E7" i="8"/>
  <c r="C7" i="8"/>
  <c r="P7" i="8"/>
  <c r="N7" i="8"/>
  <c r="J7" i="8"/>
  <c r="H7" i="8"/>
  <c r="F7" i="8"/>
  <c r="D7" i="8"/>
  <c r="B7" i="8"/>
  <c r="A9" i="1"/>
  <c r="M8" i="1"/>
  <c r="O8" i="1"/>
  <c r="L8" i="1"/>
  <c r="N8" i="1"/>
  <c r="P8" i="1"/>
  <c r="G8" i="1"/>
  <c r="I8" i="1"/>
  <c r="K8" i="1"/>
  <c r="D8" i="1"/>
  <c r="F8" i="1"/>
  <c r="H8" i="1"/>
  <c r="J8" i="1"/>
  <c r="C8" i="1"/>
  <c r="E8" i="1"/>
  <c r="B8" i="1"/>
  <c r="F6" i="15" l="1"/>
  <c r="D29" i="28"/>
  <c r="C29" i="28"/>
  <c r="G6" i="15"/>
  <c r="E6" i="15"/>
  <c r="E7" i="15"/>
  <c r="D7" i="15"/>
  <c r="BC8" i="15"/>
  <c r="AL8" i="15"/>
  <c r="AP8" i="15"/>
  <c r="BE8" i="15"/>
  <c r="AN8" i="15"/>
  <c r="U8" i="15"/>
  <c r="AA8" i="15"/>
  <c r="BA8" i="15"/>
  <c r="W8" i="15"/>
  <c r="AY8" i="15"/>
  <c r="AJ8" i="15"/>
  <c r="Y8" i="15"/>
  <c r="Q8" i="15"/>
  <c r="S8" i="15"/>
  <c r="AQ8" i="15"/>
  <c r="AO8" i="15"/>
  <c r="BB8" i="15"/>
  <c r="BD8" i="15"/>
  <c r="AM8" i="15"/>
  <c r="AB8" i="15"/>
  <c r="V8" i="15"/>
  <c r="BF8" i="15"/>
  <c r="X8" i="15"/>
  <c r="AZ8" i="15"/>
  <c r="AK8" i="15"/>
  <c r="R8" i="15"/>
  <c r="Z8" i="15"/>
  <c r="T8" i="15"/>
  <c r="G7" i="15"/>
  <c r="F7" i="15"/>
  <c r="L8" i="8"/>
  <c r="A9" i="8"/>
  <c r="O8" i="8"/>
  <c r="M8" i="8"/>
  <c r="K8" i="8"/>
  <c r="I8" i="8"/>
  <c r="G8" i="8"/>
  <c r="E8" i="8"/>
  <c r="C8" i="8"/>
  <c r="P8" i="8"/>
  <c r="N8" i="8"/>
  <c r="J8" i="8"/>
  <c r="H8" i="8"/>
  <c r="F8" i="8"/>
  <c r="D8" i="8"/>
  <c r="B8" i="8"/>
  <c r="M9" i="1"/>
  <c r="O9" i="1"/>
  <c r="L9" i="1"/>
  <c r="A10" i="1"/>
  <c r="N9" i="1"/>
  <c r="P9" i="1"/>
  <c r="G9" i="1"/>
  <c r="I9" i="1"/>
  <c r="K9" i="1"/>
  <c r="D9" i="1"/>
  <c r="F9" i="1"/>
  <c r="H9" i="1"/>
  <c r="J9" i="1"/>
  <c r="C9" i="1"/>
  <c r="E9" i="1"/>
  <c r="B9" i="1"/>
  <c r="C30" i="28" l="1"/>
  <c r="D30" i="28"/>
  <c r="F8" i="15"/>
  <c r="G8" i="15"/>
  <c r="AQ9" i="15"/>
  <c r="BD9" i="15"/>
  <c r="AM9" i="15"/>
  <c r="BF9" i="15"/>
  <c r="BB9" i="15"/>
  <c r="AB9" i="15"/>
  <c r="V9" i="15"/>
  <c r="AO9" i="15"/>
  <c r="X9" i="15"/>
  <c r="AZ9" i="15"/>
  <c r="AK9" i="15"/>
  <c r="Z9" i="15"/>
  <c r="R9" i="15"/>
  <c r="T9" i="15"/>
  <c r="AP9" i="15"/>
  <c r="BC9" i="15"/>
  <c r="AL9" i="15"/>
  <c r="AN9" i="15"/>
  <c r="BA9" i="15"/>
  <c r="BE9" i="15"/>
  <c r="AA9" i="15"/>
  <c r="U9" i="15"/>
  <c r="W9" i="15"/>
  <c r="AJ9" i="15"/>
  <c r="AY9" i="15"/>
  <c r="Q9" i="15"/>
  <c r="Y9" i="15"/>
  <c r="S9" i="15"/>
  <c r="D8" i="15"/>
  <c r="E8" i="15"/>
  <c r="L9" i="8"/>
  <c r="A10" i="8"/>
  <c r="O9" i="8"/>
  <c r="M9" i="8"/>
  <c r="K9" i="8"/>
  <c r="I9" i="8"/>
  <c r="G9" i="8"/>
  <c r="E9" i="8"/>
  <c r="C9" i="8"/>
  <c r="P9" i="8"/>
  <c r="N9" i="8"/>
  <c r="J9" i="8"/>
  <c r="H9" i="8"/>
  <c r="F9" i="8"/>
  <c r="D9" i="8"/>
  <c r="B9" i="8"/>
  <c r="A11" i="1"/>
  <c r="M10" i="1"/>
  <c r="O10" i="1"/>
  <c r="L10" i="1"/>
  <c r="N10" i="1"/>
  <c r="P10" i="1"/>
  <c r="G10" i="1"/>
  <c r="I10" i="1"/>
  <c r="K10" i="1"/>
  <c r="D10" i="1"/>
  <c r="F10" i="1"/>
  <c r="H10" i="1"/>
  <c r="J10" i="1"/>
  <c r="C10" i="1"/>
  <c r="E10" i="1"/>
  <c r="B10" i="1"/>
  <c r="C31" i="28" l="1"/>
  <c r="D31" i="28"/>
  <c r="D9" i="15"/>
  <c r="F9" i="15"/>
  <c r="G9" i="15"/>
  <c r="AN10" i="15"/>
  <c r="AP10" i="15"/>
  <c r="BE10" i="15"/>
  <c r="AL10" i="15"/>
  <c r="BA10" i="15"/>
  <c r="BC10" i="15"/>
  <c r="AA10" i="15"/>
  <c r="U10" i="15"/>
  <c r="W10" i="15"/>
  <c r="AJ10" i="15"/>
  <c r="AY10" i="15"/>
  <c r="Q10" i="15"/>
  <c r="Y10" i="15"/>
  <c r="S10" i="15"/>
  <c r="BD10" i="15"/>
  <c r="AM10" i="15"/>
  <c r="BF10" i="15"/>
  <c r="AO10" i="15"/>
  <c r="AQ10" i="15"/>
  <c r="AB10" i="15"/>
  <c r="BB10" i="15"/>
  <c r="V10" i="15"/>
  <c r="X10" i="15"/>
  <c r="AK10" i="15"/>
  <c r="AZ10" i="15"/>
  <c r="Z10" i="15"/>
  <c r="R10" i="15"/>
  <c r="T10" i="15"/>
  <c r="E9" i="15"/>
  <c r="L10" i="8"/>
  <c r="A11" i="8"/>
  <c r="O10" i="8"/>
  <c r="M10" i="8"/>
  <c r="K10" i="8"/>
  <c r="I10" i="8"/>
  <c r="G10" i="8"/>
  <c r="E10" i="8"/>
  <c r="C10" i="8"/>
  <c r="P10" i="8"/>
  <c r="N10" i="8"/>
  <c r="J10" i="8"/>
  <c r="H10" i="8"/>
  <c r="F10" i="8"/>
  <c r="D10" i="8"/>
  <c r="B10" i="8"/>
  <c r="M11" i="1"/>
  <c r="O11" i="1"/>
  <c r="L11" i="1"/>
  <c r="A12" i="1"/>
  <c r="N11" i="1"/>
  <c r="P11" i="1"/>
  <c r="G11" i="1"/>
  <c r="I11" i="1"/>
  <c r="K11" i="1"/>
  <c r="D11" i="1"/>
  <c r="F11" i="1"/>
  <c r="H11" i="1"/>
  <c r="J11" i="1"/>
  <c r="C11" i="1"/>
  <c r="E11" i="1"/>
  <c r="B11" i="1"/>
  <c r="D32" i="28" l="1"/>
  <c r="C32" i="28"/>
  <c r="F10" i="15"/>
  <c r="E10" i="15"/>
  <c r="G10" i="15"/>
  <c r="BC11" i="15"/>
  <c r="BE11" i="15"/>
  <c r="AP11" i="15"/>
  <c r="AN11" i="15"/>
  <c r="AL11" i="15"/>
  <c r="U11" i="15"/>
  <c r="AA11" i="15"/>
  <c r="BA11" i="15"/>
  <c r="W11" i="15"/>
  <c r="AY11" i="15"/>
  <c r="AJ11" i="15"/>
  <c r="Y11" i="15"/>
  <c r="Q11" i="15"/>
  <c r="S11" i="15"/>
  <c r="BD11" i="15"/>
  <c r="BF11" i="15"/>
  <c r="AQ11" i="15"/>
  <c r="AO11" i="15"/>
  <c r="AB11" i="15"/>
  <c r="V11" i="15"/>
  <c r="BB11" i="15"/>
  <c r="AM11" i="15"/>
  <c r="X11" i="15"/>
  <c r="AZ11" i="15"/>
  <c r="AK11" i="15"/>
  <c r="Z11" i="15"/>
  <c r="R11" i="15"/>
  <c r="T11" i="15"/>
  <c r="D10" i="15"/>
  <c r="L11" i="8"/>
  <c r="A12" i="8"/>
  <c r="O11" i="8"/>
  <c r="M11" i="8"/>
  <c r="K11" i="8"/>
  <c r="I11" i="8"/>
  <c r="G11" i="8"/>
  <c r="E11" i="8"/>
  <c r="C11" i="8"/>
  <c r="P11" i="8"/>
  <c r="N11" i="8"/>
  <c r="J11" i="8"/>
  <c r="H11" i="8"/>
  <c r="F11" i="8"/>
  <c r="D11" i="8"/>
  <c r="B11" i="8"/>
  <c r="A13" i="1"/>
  <c r="M12" i="1"/>
  <c r="O12" i="1"/>
  <c r="L12" i="1"/>
  <c r="N12" i="1"/>
  <c r="P12" i="1"/>
  <c r="G12" i="1"/>
  <c r="I12" i="1"/>
  <c r="K12" i="1"/>
  <c r="D12" i="1"/>
  <c r="F12" i="1"/>
  <c r="H12" i="1"/>
  <c r="J12" i="1"/>
  <c r="C12" i="1"/>
  <c r="E12" i="1"/>
  <c r="B12" i="1"/>
  <c r="D33" i="28" l="1"/>
  <c r="C33" i="28"/>
  <c r="E11" i="15"/>
  <c r="D11" i="15"/>
  <c r="AL12" i="15"/>
  <c r="BA12" i="15"/>
  <c r="BC12" i="15"/>
  <c r="AN12" i="15"/>
  <c r="AA12" i="15"/>
  <c r="AP12" i="15"/>
  <c r="BE12" i="15"/>
  <c r="U12" i="15"/>
  <c r="W12" i="15"/>
  <c r="AJ12" i="15"/>
  <c r="AY12" i="15"/>
  <c r="Q12" i="15"/>
  <c r="Y12" i="15"/>
  <c r="S12" i="15"/>
  <c r="BD12" i="15"/>
  <c r="AQ12" i="15"/>
  <c r="BB12" i="15"/>
  <c r="BF12" i="15"/>
  <c r="AM12" i="15"/>
  <c r="AO12" i="15"/>
  <c r="AB12" i="15"/>
  <c r="V12" i="15"/>
  <c r="X12" i="15"/>
  <c r="AZ12" i="15"/>
  <c r="AK12" i="15"/>
  <c r="Z12" i="15"/>
  <c r="R12" i="15"/>
  <c r="T12" i="15"/>
  <c r="G11" i="15"/>
  <c r="F11" i="15"/>
  <c r="L12" i="8"/>
  <c r="A13" i="8"/>
  <c r="O12" i="8"/>
  <c r="M12" i="8"/>
  <c r="K12" i="8"/>
  <c r="I12" i="8"/>
  <c r="G12" i="8"/>
  <c r="E12" i="8"/>
  <c r="C12" i="8"/>
  <c r="P12" i="8"/>
  <c r="N12" i="8"/>
  <c r="J12" i="8"/>
  <c r="H12" i="8"/>
  <c r="F12" i="8"/>
  <c r="D12" i="8"/>
  <c r="B12" i="8"/>
  <c r="M13" i="1"/>
  <c r="O13" i="1"/>
  <c r="L13" i="1"/>
  <c r="A14" i="1"/>
  <c r="N13" i="1"/>
  <c r="P13" i="1"/>
  <c r="G13" i="1"/>
  <c r="I13" i="1"/>
  <c r="K13" i="1"/>
  <c r="D13" i="1"/>
  <c r="F13" i="1"/>
  <c r="H13" i="1"/>
  <c r="J13" i="1"/>
  <c r="C13" i="1"/>
  <c r="E13" i="1"/>
  <c r="B13" i="1"/>
  <c r="D34" i="28" l="1"/>
  <c r="C34" i="28"/>
  <c r="E12" i="15"/>
  <c r="BC13" i="15"/>
  <c r="AP13" i="15"/>
  <c r="AL13" i="15"/>
  <c r="BA13" i="15"/>
  <c r="AN13" i="15"/>
  <c r="U13" i="15"/>
  <c r="AA13" i="15"/>
  <c r="BE13" i="15"/>
  <c r="W13" i="15"/>
  <c r="AJ13" i="15"/>
  <c r="AY13" i="15"/>
  <c r="Y13" i="15"/>
  <c r="Q13" i="15"/>
  <c r="S13" i="15"/>
  <c r="AQ13" i="15"/>
  <c r="AM13" i="15"/>
  <c r="BD13" i="15"/>
  <c r="AB13" i="15"/>
  <c r="BF13" i="15"/>
  <c r="BB13" i="15"/>
  <c r="AO13" i="15"/>
  <c r="V13" i="15"/>
  <c r="X13" i="15"/>
  <c r="AK13" i="15"/>
  <c r="AZ13" i="15"/>
  <c r="Z13" i="15"/>
  <c r="R13" i="15"/>
  <c r="T13" i="15"/>
  <c r="F12" i="15"/>
  <c r="D12" i="15"/>
  <c r="G12" i="15"/>
  <c r="L13" i="8"/>
  <c r="A14" i="8"/>
  <c r="O13" i="8"/>
  <c r="M13" i="8"/>
  <c r="K13" i="8"/>
  <c r="I13" i="8"/>
  <c r="G13" i="8"/>
  <c r="E13" i="8"/>
  <c r="C13" i="8"/>
  <c r="P13" i="8"/>
  <c r="N13" i="8"/>
  <c r="J13" i="8"/>
  <c r="H13" i="8"/>
  <c r="F13" i="8"/>
  <c r="D13" i="8"/>
  <c r="B13" i="8"/>
  <c r="A15" i="1"/>
  <c r="M14" i="1"/>
  <c r="O14" i="1"/>
  <c r="L14" i="1"/>
  <c r="N14" i="1"/>
  <c r="P14" i="1"/>
  <c r="G14" i="1"/>
  <c r="I14" i="1"/>
  <c r="K14" i="1"/>
  <c r="D14" i="1"/>
  <c r="F14" i="1"/>
  <c r="H14" i="1"/>
  <c r="J14" i="1"/>
  <c r="C14" i="1"/>
  <c r="E14" i="1"/>
  <c r="B14" i="1"/>
  <c r="C35" i="28" l="1"/>
  <c r="D35" i="28"/>
  <c r="G13" i="15"/>
  <c r="G6" i="22" s="1"/>
  <c r="F13" i="15"/>
  <c r="F6" i="22" s="1"/>
  <c r="BC14" i="15"/>
  <c r="AP14" i="15"/>
  <c r="BE14" i="15"/>
  <c r="BA14" i="15"/>
  <c r="AL14" i="15"/>
  <c r="AN14" i="15"/>
  <c r="U14" i="15"/>
  <c r="AA14" i="15"/>
  <c r="W14" i="15"/>
  <c r="AY14" i="15"/>
  <c r="AJ14" i="15"/>
  <c r="Y14" i="15"/>
  <c r="Q14" i="15"/>
  <c r="S14" i="15"/>
  <c r="AM14" i="15"/>
  <c r="AQ14" i="15"/>
  <c r="BD14" i="15"/>
  <c r="AO14" i="15"/>
  <c r="BF14" i="15"/>
  <c r="V14" i="15"/>
  <c r="BB14" i="15"/>
  <c r="AB14" i="15"/>
  <c r="X14" i="15"/>
  <c r="AZ14" i="15"/>
  <c r="AK14" i="15"/>
  <c r="Z14" i="15"/>
  <c r="R14" i="15"/>
  <c r="T14" i="15"/>
  <c r="D13" i="15"/>
  <c r="D6" i="22" s="1"/>
  <c r="E13" i="15"/>
  <c r="E6" i="22" s="1"/>
  <c r="L14" i="8"/>
  <c r="A15" i="8"/>
  <c r="O14" i="8"/>
  <c r="M14" i="8"/>
  <c r="K14" i="8"/>
  <c r="I14" i="8"/>
  <c r="G14" i="8"/>
  <c r="E14" i="8"/>
  <c r="C14" i="8"/>
  <c r="P14" i="8"/>
  <c r="N14" i="8"/>
  <c r="J14" i="8"/>
  <c r="H14" i="8"/>
  <c r="F14" i="8"/>
  <c r="D14" i="8"/>
  <c r="B14" i="8"/>
  <c r="M15" i="1"/>
  <c r="O15" i="1"/>
  <c r="L15" i="1"/>
  <c r="A16" i="1"/>
  <c r="N15" i="1"/>
  <c r="P15" i="1"/>
  <c r="G15" i="1"/>
  <c r="I15" i="1"/>
  <c r="K15" i="1"/>
  <c r="D15" i="1"/>
  <c r="F15" i="1"/>
  <c r="H15" i="1"/>
  <c r="J15" i="1"/>
  <c r="C15" i="1"/>
  <c r="E15" i="1"/>
  <c r="B15" i="1"/>
  <c r="D36" i="28" l="1"/>
  <c r="C36" i="28"/>
  <c r="D14" i="15"/>
  <c r="D7" i="22" s="1"/>
  <c r="BC15" i="15"/>
  <c r="AP15" i="15"/>
  <c r="AL15" i="15"/>
  <c r="BE15" i="15"/>
  <c r="BA15" i="15"/>
  <c r="AA15" i="15"/>
  <c r="AN15" i="15"/>
  <c r="U15" i="15"/>
  <c r="W15" i="15"/>
  <c r="AY15" i="15"/>
  <c r="AJ15" i="15"/>
  <c r="Y15" i="15"/>
  <c r="Q15" i="15"/>
  <c r="S15" i="15"/>
  <c r="BD15" i="15"/>
  <c r="AQ15" i="15"/>
  <c r="AM15" i="15"/>
  <c r="AO15" i="15"/>
  <c r="BB15" i="15"/>
  <c r="BF15" i="15"/>
  <c r="AB15" i="15"/>
  <c r="V15" i="15"/>
  <c r="X15" i="15"/>
  <c r="AK15" i="15"/>
  <c r="AZ15" i="15"/>
  <c r="Z15" i="15"/>
  <c r="R15" i="15"/>
  <c r="T15" i="15"/>
  <c r="G14" i="15"/>
  <c r="G7" i="22" s="1"/>
  <c r="E14" i="15"/>
  <c r="E7" i="22" s="1"/>
  <c r="F14" i="15"/>
  <c r="F7" i="22" s="1"/>
  <c r="L15" i="8"/>
  <c r="A16" i="8"/>
  <c r="O15" i="8"/>
  <c r="M15" i="8"/>
  <c r="K15" i="8"/>
  <c r="I15" i="8"/>
  <c r="G15" i="8"/>
  <c r="E15" i="8"/>
  <c r="C15" i="8"/>
  <c r="P15" i="8"/>
  <c r="N15" i="8"/>
  <c r="J15" i="8"/>
  <c r="H15" i="8"/>
  <c r="F15" i="8"/>
  <c r="D15" i="8"/>
  <c r="B15" i="8"/>
  <c r="A17" i="1"/>
  <c r="M16" i="1"/>
  <c r="O16" i="1"/>
  <c r="L16" i="1"/>
  <c r="N16" i="1"/>
  <c r="P16" i="1"/>
  <c r="G16" i="1"/>
  <c r="I16" i="1"/>
  <c r="K16" i="1"/>
  <c r="D16" i="1"/>
  <c r="F16" i="1"/>
  <c r="H16" i="1"/>
  <c r="J16" i="1"/>
  <c r="C16" i="1"/>
  <c r="E16" i="1"/>
  <c r="B16" i="1"/>
  <c r="D37" i="28" l="1"/>
  <c r="C37" i="28"/>
  <c r="G15" i="15"/>
  <c r="G8" i="22" s="1"/>
  <c r="BC16" i="15"/>
  <c r="AL16" i="15"/>
  <c r="AP16" i="15"/>
  <c r="BE16" i="15"/>
  <c r="AN16" i="15"/>
  <c r="BA16" i="15"/>
  <c r="AA16" i="15"/>
  <c r="U16" i="15"/>
  <c r="W16" i="15"/>
  <c r="AY16" i="15"/>
  <c r="AJ16" i="15"/>
  <c r="Q16" i="15"/>
  <c r="Y16" i="15"/>
  <c r="S16" i="15"/>
  <c r="BD16" i="15"/>
  <c r="AQ16" i="15"/>
  <c r="AO16" i="15"/>
  <c r="BB16" i="15"/>
  <c r="AM16" i="15"/>
  <c r="BF16" i="15"/>
  <c r="AB16" i="15"/>
  <c r="V16" i="15"/>
  <c r="X16" i="15"/>
  <c r="AZ16" i="15"/>
  <c r="AK16" i="15"/>
  <c r="Z16" i="15"/>
  <c r="R16" i="15"/>
  <c r="T16" i="15"/>
  <c r="D15" i="15"/>
  <c r="D8" i="22" s="1"/>
  <c r="F15" i="15"/>
  <c r="F8" i="22" s="1"/>
  <c r="E15" i="15"/>
  <c r="E8" i="22" s="1"/>
  <c r="L16" i="8"/>
  <c r="A17" i="8"/>
  <c r="O16" i="8"/>
  <c r="M16" i="8"/>
  <c r="K16" i="8"/>
  <c r="I16" i="8"/>
  <c r="G16" i="8"/>
  <c r="E16" i="8"/>
  <c r="C16" i="8"/>
  <c r="P16" i="8"/>
  <c r="N16" i="8"/>
  <c r="J16" i="8"/>
  <c r="H16" i="8"/>
  <c r="F16" i="8"/>
  <c r="D16" i="8"/>
  <c r="B16" i="8"/>
  <c r="M17" i="1"/>
  <c r="O17" i="1"/>
  <c r="L17" i="1"/>
  <c r="A18" i="1"/>
  <c r="N17" i="1"/>
  <c r="P17" i="1"/>
  <c r="G17" i="1"/>
  <c r="I17" i="1"/>
  <c r="K17" i="1"/>
  <c r="D17" i="1"/>
  <c r="F17" i="1"/>
  <c r="H17" i="1"/>
  <c r="J17" i="1"/>
  <c r="C17" i="1"/>
  <c r="E17" i="1"/>
  <c r="B17" i="1"/>
  <c r="D38" i="28" l="1"/>
  <c r="C38" i="28"/>
  <c r="E16" i="15"/>
  <c r="E9" i="22" s="1"/>
  <c r="AQ17" i="15"/>
  <c r="BD17" i="15"/>
  <c r="AM17" i="15"/>
  <c r="BF17" i="15"/>
  <c r="BB17" i="15"/>
  <c r="AO17" i="15"/>
  <c r="AB17" i="15"/>
  <c r="V17" i="15"/>
  <c r="X17" i="15"/>
  <c r="AZ17" i="15"/>
  <c r="AK17" i="15"/>
  <c r="Z17" i="15"/>
  <c r="R17" i="15"/>
  <c r="T17" i="15"/>
  <c r="F16" i="15"/>
  <c r="F9" i="22" s="1"/>
  <c r="D16" i="15"/>
  <c r="D9" i="22" s="1"/>
  <c r="BC17" i="15"/>
  <c r="AP17" i="15"/>
  <c r="AL17" i="15"/>
  <c r="BA17" i="15"/>
  <c r="AN17" i="15"/>
  <c r="BE17" i="15"/>
  <c r="AA17" i="15"/>
  <c r="U17" i="15"/>
  <c r="W17" i="15"/>
  <c r="AY17" i="15"/>
  <c r="AJ17" i="15"/>
  <c r="Q17" i="15"/>
  <c r="Y17" i="15"/>
  <c r="S17" i="15"/>
  <c r="G16" i="15"/>
  <c r="G9" i="22" s="1"/>
  <c r="L17" i="8"/>
  <c r="A18" i="8"/>
  <c r="O17" i="8"/>
  <c r="M17" i="8"/>
  <c r="K17" i="8"/>
  <c r="I17" i="8"/>
  <c r="G17" i="8"/>
  <c r="E17" i="8"/>
  <c r="C17" i="8"/>
  <c r="P17" i="8"/>
  <c r="N17" i="8"/>
  <c r="J17" i="8"/>
  <c r="H17" i="8"/>
  <c r="F17" i="8"/>
  <c r="D17" i="8"/>
  <c r="B17" i="8"/>
  <c r="A19" i="1"/>
  <c r="M18" i="1"/>
  <c r="O18" i="1"/>
  <c r="L18" i="1"/>
  <c r="N18" i="1"/>
  <c r="P18" i="1"/>
  <c r="G18" i="1"/>
  <c r="I18" i="1"/>
  <c r="K18" i="1"/>
  <c r="D18" i="1"/>
  <c r="F18" i="1"/>
  <c r="H18" i="1"/>
  <c r="J18" i="1"/>
  <c r="C18" i="1"/>
  <c r="E18" i="1"/>
  <c r="B18" i="1"/>
  <c r="C39" i="28" l="1"/>
  <c r="D39" i="28"/>
  <c r="F17" i="15"/>
  <c r="F10" i="22" s="1"/>
  <c r="G17" i="15"/>
  <c r="G10" i="22" s="1"/>
  <c r="AN18" i="15"/>
  <c r="BC18" i="15"/>
  <c r="BE18" i="15"/>
  <c r="AL18" i="15"/>
  <c r="AP18" i="15"/>
  <c r="U18" i="15"/>
  <c r="AA18" i="15"/>
  <c r="BA18" i="15"/>
  <c r="W18" i="15"/>
  <c r="AY18" i="15"/>
  <c r="AJ18" i="15"/>
  <c r="Y18" i="15"/>
  <c r="Q18" i="15"/>
  <c r="S18" i="15"/>
  <c r="BD18" i="15"/>
  <c r="AQ18" i="15"/>
  <c r="BF18" i="15"/>
  <c r="AO18" i="15"/>
  <c r="AB18" i="15"/>
  <c r="BB18" i="15"/>
  <c r="AM18" i="15"/>
  <c r="V18" i="15"/>
  <c r="X18" i="15"/>
  <c r="AZ18" i="15"/>
  <c r="AK18" i="15"/>
  <c r="R18" i="15"/>
  <c r="Z18" i="15"/>
  <c r="T18" i="15"/>
  <c r="D17" i="15"/>
  <c r="D10" i="22" s="1"/>
  <c r="E17" i="15"/>
  <c r="E10" i="22" s="1"/>
  <c r="L18" i="8"/>
  <c r="A19" i="8"/>
  <c r="O18" i="8"/>
  <c r="M18" i="8"/>
  <c r="K18" i="8"/>
  <c r="I18" i="8"/>
  <c r="G18" i="8"/>
  <c r="E18" i="8"/>
  <c r="C18" i="8"/>
  <c r="P18" i="8"/>
  <c r="N18" i="8"/>
  <c r="J18" i="8"/>
  <c r="H18" i="8"/>
  <c r="F18" i="8"/>
  <c r="D18" i="8"/>
  <c r="B18" i="8"/>
  <c r="M19" i="1"/>
  <c r="O19" i="1"/>
  <c r="L19" i="1"/>
  <c r="A20" i="1"/>
  <c r="N19" i="1"/>
  <c r="P19" i="1"/>
  <c r="G19" i="1"/>
  <c r="I19" i="1"/>
  <c r="K19" i="1"/>
  <c r="D19" i="1"/>
  <c r="F19" i="1"/>
  <c r="H19" i="1"/>
  <c r="J19" i="1"/>
  <c r="C19" i="1"/>
  <c r="E19" i="1"/>
  <c r="B19" i="1"/>
  <c r="D40" i="28" l="1"/>
  <c r="C40" i="28"/>
  <c r="F18" i="15"/>
  <c r="F11" i="22" s="1"/>
  <c r="D18" i="15"/>
  <c r="D11" i="22" s="1"/>
  <c r="BC19" i="15"/>
  <c r="AN19" i="15"/>
  <c r="BE19" i="15"/>
  <c r="AL19" i="15"/>
  <c r="BA19" i="15"/>
  <c r="AP19" i="15"/>
  <c r="AA19" i="15"/>
  <c r="U19" i="15"/>
  <c r="W19" i="15"/>
  <c r="AY19" i="15"/>
  <c r="AJ19" i="15"/>
  <c r="Q19" i="15"/>
  <c r="Y19" i="15"/>
  <c r="S19" i="15"/>
  <c r="G18" i="15"/>
  <c r="G11" i="22" s="1"/>
  <c r="E18" i="15"/>
  <c r="E11" i="22" s="1"/>
  <c r="BD19" i="15"/>
  <c r="AO19" i="15"/>
  <c r="AM19" i="15"/>
  <c r="BB19" i="15"/>
  <c r="V19" i="15"/>
  <c r="BF19" i="15"/>
  <c r="AB19" i="15"/>
  <c r="AQ19" i="15"/>
  <c r="X19" i="15"/>
  <c r="AK19" i="15"/>
  <c r="AZ19" i="15"/>
  <c r="Z19" i="15"/>
  <c r="R19" i="15"/>
  <c r="T19" i="15"/>
  <c r="L19" i="8"/>
  <c r="A20" i="8"/>
  <c r="O19" i="8"/>
  <c r="M19" i="8"/>
  <c r="K19" i="8"/>
  <c r="I19" i="8"/>
  <c r="G19" i="8"/>
  <c r="E19" i="8"/>
  <c r="C19" i="8"/>
  <c r="P19" i="8"/>
  <c r="N19" i="8"/>
  <c r="J19" i="8"/>
  <c r="H19" i="8"/>
  <c r="F19" i="8"/>
  <c r="D19" i="8"/>
  <c r="B19" i="8"/>
  <c r="A21" i="1"/>
  <c r="M20" i="1"/>
  <c r="O20" i="1"/>
  <c r="L20" i="1"/>
  <c r="N20" i="1"/>
  <c r="P20" i="1"/>
  <c r="G20" i="1"/>
  <c r="I20" i="1"/>
  <c r="K20" i="1"/>
  <c r="D20" i="1"/>
  <c r="F20" i="1"/>
  <c r="H20" i="1"/>
  <c r="J20" i="1"/>
  <c r="C20" i="1"/>
  <c r="E20" i="1"/>
  <c r="B20" i="1"/>
  <c r="D41" i="28" l="1"/>
  <c r="C41" i="28"/>
  <c r="F19" i="15"/>
  <c r="F12" i="22" s="1"/>
  <c r="E19" i="15"/>
  <c r="E12" i="22" s="1"/>
  <c r="AM20" i="15"/>
  <c r="BB20" i="15"/>
  <c r="BD20" i="15"/>
  <c r="AQ20" i="15"/>
  <c r="AO20" i="15"/>
  <c r="BF20" i="15"/>
  <c r="AB20" i="15"/>
  <c r="V20" i="15"/>
  <c r="X20" i="15"/>
  <c r="AZ20" i="15"/>
  <c r="AK20" i="15"/>
  <c r="Z20" i="15"/>
  <c r="R20" i="15"/>
  <c r="T20" i="15"/>
  <c r="BC20" i="15"/>
  <c r="AL20" i="15"/>
  <c r="BA20" i="15"/>
  <c r="U20" i="15"/>
  <c r="BE20" i="15"/>
  <c r="AN20" i="15"/>
  <c r="AA20" i="15"/>
  <c r="AP20" i="15"/>
  <c r="W20" i="15"/>
  <c r="AJ20" i="15"/>
  <c r="AY20" i="15"/>
  <c r="Y20" i="15"/>
  <c r="Q20" i="15"/>
  <c r="S20" i="15"/>
  <c r="G19" i="15"/>
  <c r="G12" i="22" s="1"/>
  <c r="D19" i="15"/>
  <c r="D12" i="22" s="1"/>
  <c r="L20" i="8"/>
  <c r="A21" i="8"/>
  <c r="O20" i="8"/>
  <c r="M20" i="8"/>
  <c r="K20" i="8"/>
  <c r="I20" i="8"/>
  <c r="G20" i="8"/>
  <c r="E20" i="8"/>
  <c r="C20" i="8"/>
  <c r="P20" i="8"/>
  <c r="N20" i="8"/>
  <c r="J20" i="8"/>
  <c r="H20" i="8"/>
  <c r="F20" i="8"/>
  <c r="D20" i="8"/>
  <c r="B20" i="8"/>
  <c r="M21" i="1"/>
  <c r="O21" i="1"/>
  <c r="L21" i="1"/>
  <c r="A22" i="1"/>
  <c r="N21" i="1"/>
  <c r="P21" i="1"/>
  <c r="G21" i="1"/>
  <c r="I21" i="1"/>
  <c r="K21" i="1"/>
  <c r="D21" i="1"/>
  <c r="F21" i="1"/>
  <c r="H21" i="1"/>
  <c r="J21" i="1"/>
  <c r="C21" i="1"/>
  <c r="E21" i="1"/>
  <c r="B21" i="1"/>
  <c r="D42" i="28" l="1"/>
  <c r="C42" i="28"/>
  <c r="G20" i="15"/>
  <c r="G13" i="22" s="1"/>
  <c r="E20" i="15"/>
  <c r="E13" i="22" s="1"/>
  <c r="AQ21" i="15"/>
  <c r="AM21" i="15"/>
  <c r="BB21" i="15"/>
  <c r="AB21" i="15"/>
  <c r="AO21" i="15"/>
  <c r="BF21" i="15"/>
  <c r="V21" i="15"/>
  <c r="BD21" i="15"/>
  <c r="X21" i="15"/>
  <c r="AZ21" i="15"/>
  <c r="AK21" i="15"/>
  <c r="Z21" i="15"/>
  <c r="R21" i="15"/>
  <c r="T21" i="15"/>
  <c r="BC21" i="15"/>
  <c r="AP21" i="15"/>
  <c r="AL21" i="15"/>
  <c r="BA21" i="15"/>
  <c r="AN21" i="15"/>
  <c r="U21" i="15"/>
  <c r="BE21" i="15"/>
  <c r="AA21" i="15"/>
  <c r="W21" i="15"/>
  <c r="AJ21" i="15"/>
  <c r="AY21" i="15"/>
  <c r="Y21" i="15"/>
  <c r="Q21" i="15"/>
  <c r="S21" i="15"/>
  <c r="F20" i="15"/>
  <c r="F13" i="22" s="1"/>
  <c r="D20" i="15"/>
  <c r="D13" i="22" s="1"/>
  <c r="L21" i="8"/>
  <c r="A22" i="8"/>
  <c r="O21" i="8"/>
  <c r="M21" i="8"/>
  <c r="K21" i="8"/>
  <c r="I21" i="8"/>
  <c r="G21" i="8"/>
  <c r="E21" i="8"/>
  <c r="C21" i="8"/>
  <c r="P21" i="8"/>
  <c r="N21" i="8"/>
  <c r="J21" i="8"/>
  <c r="H21" i="8"/>
  <c r="F21" i="8"/>
  <c r="D21" i="8"/>
  <c r="B21" i="8"/>
  <c r="A23" i="1"/>
  <c r="M22" i="1"/>
  <c r="O22" i="1"/>
  <c r="L22" i="1"/>
  <c r="N22" i="1"/>
  <c r="P22" i="1"/>
  <c r="G22" i="1"/>
  <c r="I22" i="1"/>
  <c r="K22" i="1"/>
  <c r="D22" i="1"/>
  <c r="F22" i="1"/>
  <c r="H22" i="1"/>
  <c r="J22" i="1"/>
  <c r="C22" i="1"/>
  <c r="E22" i="1"/>
  <c r="B22" i="1"/>
  <c r="C43" i="28" l="1"/>
  <c r="D43" i="28"/>
  <c r="G21" i="15"/>
  <c r="G14" i="22" s="1"/>
  <c r="AL22" i="15"/>
  <c r="BC22" i="15"/>
  <c r="AP22" i="15"/>
  <c r="BA22" i="15"/>
  <c r="AN22" i="15"/>
  <c r="BE22" i="15"/>
  <c r="U22" i="15"/>
  <c r="AA22" i="15"/>
  <c r="W22" i="15"/>
  <c r="AJ22" i="15"/>
  <c r="AY22" i="15"/>
  <c r="Y22" i="15"/>
  <c r="Q22" i="15"/>
  <c r="S22" i="15"/>
  <c r="E21" i="15"/>
  <c r="E14" i="22" s="1"/>
  <c r="D21" i="15"/>
  <c r="D14" i="22" s="1"/>
  <c r="F21" i="15"/>
  <c r="F14" i="22" s="1"/>
  <c r="AQ22" i="15"/>
  <c r="AM22" i="15"/>
  <c r="BD22" i="15"/>
  <c r="AO22" i="15"/>
  <c r="BF22" i="15"/>
  <c r="BB22" i="15"/>
  <c r="V22" i="15"/>
  <c r="AB22" i="15"/>
  <c r="X22" i="15"/>
  <c r="AK22" i="15"/>
  <c r="AZ22" i="15"/>
  <c r="Z22" i="15"/>
  <c r="R22" i="15"/>
  <c r="T22" i="15"/>
  <c r="L22" i="8"/>
  <c r="A23" i="8"/>
  <c r="O22" i="8"/>
  <c r="M22" i="8"/>
  <c r="K22" i="8"/>
  <c r="I22" i="8"/>
  <c r="G22" i="8"/>
  <c r="E22" i="8"/>
  <c r="C22" i="8"/>
  <c r="P22" i="8"/>
  <c r="N22" i="8"/>
  <c r="J22" i="8"/>
  <c r="H22" i="8"/>
  <c r="F22" i="8"/>
  <c r="D22" i="8"/>
  <c r="B22" i="8"/>
  <c r="M23" i="1"/>
  <c r="O23" i="1"/>
  <c r="L23" i="1"/>
  <c r="A24" i="1"/>
  <c r="N23" i="1"/>
  <c r="P23" i="1"/>
  <c r="G23" i="1"/>
  <c r="I23" i="1"/>
  <c r="K23" i="1"/>
  <c r="D23" i="1"/>
  <c r="F23" i="1"/>
  <c r="H23" i="1"/>
  <c r="J23" i="1"/>
  <c r="C23" i="1"/>
  <c r="E23" i="1"/>
  <c r="B23" i="1"/>
  <c r="D44" i="28" l="1"/>
  <c r="C44" i="28"/>
  <c r="D22" i="15"/>
  <c r="D15" i="22" s="1"/>
  <c r="AQ23" i="15"/>
  <c r="AM23" i="15"/>
  <c r="BB23" i="15"/>
  <c r="BD23" i="15"/>
  <c r="AO23" i="15"/>
  <c r="BF23" i="15"/>
  <c r="V23" i="15"/>
  <c r="AB23" i="15"/>
  <c r="X23" i="15"/>
  <c r="AZ23" i="15"/>
  <c r="AK23" i="15"/>
  <c r="R23" i="15"/>
  <c r="Z23" i="15"/>
  <c r="T23" i="15"/>
  <c r="E22" i="15"/>
  <c r="E15" i="22" s="1"/>
  <c r="F22" i="15"/>
  <c r="F15" i="22" s="1"/>
  <c r="BC23" i="15"/>
  <c r="AP23" i="15"/>
  <c r="AL23" i="15"/>
  <c r="BE23" i="15"/>
  <c r="AN23" i="15"/>
  <c r="BA23" i="15"/>
  <c r="AA23" i="15"/>
  <c r="U23" i="15"/>
  <c r="W23" i="15"/>
  <c r="AY23" i="15"/>
  <c r="AJ23" i="15"/>
  <c r="Q23" i="15"/>
  <c r="Y23" i="15"/>
  <c r="S23" i="15"/>
  <c r="G22" i="15"/>
  <c r="G15" i="22" s="1"/>
  <c r="L23" i="8"/>
  <c r="A24" i="8"/>
  <c r="O23" i="8"/>
  <c r="M23" i="8"/>
  <c r="K23" i="8"/>
  <c r="I23" i="8"/>
  <c r="G23" i="8"/>
  <c r="E23" i="8"/>
  <c r="C23" i="8"/>
  <c r="P23" i="8"/>
  <c r="N23" i="8"/>
  <c r="J23" i="8"/>
  <c r="H23" i="8"/>
  <c r="F23" i="8"/>
  <c r="D23" i="8"/>
  <c r="B23" i="8"/>
  <c r="A25" i="1"/>
  <c r="M24" i="1"/>
  <c r="O24" i="1"/>
  <c r="L24" i="1"/>
  <c r="N24" i="1"/>
  <c r="P24" i="1"/>
  <c r="G24" i="1"/>
  <c r="I24" i="1"/>
  <c r="K24" i="1"/>
  <c r="D24" i="1"/>
  <c r="F24" i="1"/>
  <c r="H24" i="1"/>
  <c r="J24" i="1"/>
  <c r="C24" i="1"/>
  <c r="E24" i="1"/>
  <c r="B24" i="1"/>
  <c r="D45" i="28" l="1"/>
  <c r="C45" i="28"/>
  <c r="F23" i="15"/>
  <c r="F16" i="22" s="1"/>
  <c r="G23" i="15"/>
  <c r="G16" i="22" s="1"/>
  <c r="D23" i="15"/>
  <c r="D16" i="22" s="1"/>
  <c r="E23" i="15"/>
  <c r="E16" i="22" s="1"/>
  <c r="BC24" i="15"/>
  <c r="AL24" i="15"/>
  <c r="BE24" i="15"/>
  <c r="BA24" i="15"/>
  <c r="AP24" i="15"/>
  <c r="AN24" i="15"/>
  <c r="U24" i="15"/>
  <c r="AA24" i="15"/>
  <c r="W24" i="15"/>
  <c r="AJ24" i="15"/>
  <c r="AY24" i="15"/>
  <c r="Y24" i="15"/>
  <c r="Q24" i="15"/>
  <c r="S24" i="15"/>
  <c r="AQ24" i="15"/>
  <c r="BD24" i="15"/>
  <c r="AM24" i="15"/>
  <c r="AO24" i="15"/>
  <c r="BB24" i="15"/>
  <c r="BF24" i="15"/>
  <c r="AB24" i="15"/>
  <c r="V24" i="15"/>
  <c r="X24" i="15"/>
  <c r="AZ24" i="15"/>
  <c r="AK24" i="15"/>
  <c r="R24" i="15"/>
  <c r="Z24" i="15"/>
  <c r="T24" i="15"/>
  <c r="L24" i="8"/>
  <c r="A25" i="8"/>
  <c r="O24" i="8"/>
  <c r="M24" i="8"/>
  <c r="K24" i="8"/>
  <c r="I24" i="8"/>
  <c r="G24" i="8"/>
  <c r="E24" i="8"/>
  <c r="C24" i="8"/>
  <c r="P24" i="8"/>
  <c r="N24" i="8"/>
  <c r="J24" i="8"/>
  <c r="H24" i="8"/>
  <c r="F24" i="8"/>
  <c r="D24" i="8"/>
  <c r="B24" i="8"/>
  <c r="M25" i="1"/>
  <c r="O25" i="1"/>
  <c r="L25" i="1"/>
  <c r="A26" i="1"/>
  <c r="N25" i="1"/>
  <c r="P25" i="1"/>
  <c r="G25" i="1"/>
  <c r="I25" i="1"/>
  <c r="K25" i="1"/>
  <c r="D25" i="1"/>
  <c r="F25" i="1"/>
  <c r="H25" i="1"/>
  <c r="J25" i="1"/>
  <c r="C25" i="1"/>
  <c r="E25" i="1"/>
  <c r="B25" i="1"/>
  <c r="D46" i="28" l="1"/>
  <c r="C46" i="28"/>
  <c r="G24" i="15"/>
  <c r="G17" i="22" s="1"/>
  <c r="E24" i="15"/>
  <c r="E17" i="22" s="1"/>
  <c r="AQ25" i="15"/>
  <c r="BD25" i="15"/>
  <c r="AM25" i="15"/>
  <c r="AO25" i="15"/>
  <c r="BF25" i="15"/>
  <c r="AB25" i="15"/>
  <c r="V25" i="15"/>
  <c r="BB25" i="15"/>
  <c r="X25" i="15"/>
  <c r="AZ25" i="15"/>
  <c r="AK25" i="15"/>
  <c r="Z25" i="15"/>
  <c r="R25" i="15"/>
  <c r="T25" i="15"/>
  <c r="AP25" i="15"/>
  <c r="AL25" i="15"/>
  <c r="AN25" i="15"/>
  <c r="BA25" i="15"/>
  <c r="BE25" i="15"/>
  <c r="U25" i="15"/>
  <c r="BC25" i="15"/>
  <c r="AA25" i="15"/>
  <c r="W25" i="15"/>
  <c r="AJ25" i="15"/>
  <c r="AY25" i="15"/>
  <c r="Y25" i="15"/>
  <c r="Q25" i="15"/>
  <c r="S25" i="15"/>
  <c r="F24" i="15"/>
  <c r="F17" i="22" s="1"/>
  <c r="D24" i="15"/>
  <c r="D17" i="22" s="1"/>
  <c r="L26" i="1"/>
  <c r="N26" i="1"/>
  <c r="P26" i="1"/>
  <c r="M26" i="1"/>
  <c r="O26" i="1"/>
  <c r="L25" i="8"/>
  <c r="N25" i="8"/>
  <c r="P25" i="8"/>
  <c r="M25" i="8"/>
  <c r="O25" i="8"/>
  <c r="A26" i="8"/>
  <c r="K25" i="8"/>
  <c r="I25" i="8"/>
  <c r="G25" i="8"/>
  <c r="E25" i="8"/>
  <c r="C25" i="8"/>
  <c r="J25" i="8"/>
  <c r="H25" i="8"/>
  <c r="F25" i="8"/>
  <c r="D25" i="8"/>
  <c r="B25" i="8"/>
  <c r="A27" i="1"/>
  <c r="H26" i="1"/>
  <c r="J26" i="1"/>
  <c r="G26" i="1"/>
  <c r="C26" i="1"/>
  <c r="E26" i="1"/>
  <c r="B26" i="1"/>
  <c r="I26" i="1"/>
  <c r="K26" i="1"/>
  <c r="D26" i="1"/>
  <c r="F26" i="1"/>
  <c r="D47" i="28" l="1"/>
  <c r="C7" i="30" s="1"/>
  <c r="C47" i="28"/>
  <c r="C6" i="30" s="1"/>
  <c r="G25" i="15"/>
  <c r="G18" i="22" s="1"/>
  <c r="E25" i="15"/>
  <c r="E18" i="22" s="1"/>
  <c r="BD26" i="15"/>
  <c r="AM26" i="15"/>
  <c r="BF26" i="15"/>
  <c r="AQ26" i="15"/>
  <c r="AO26" i="15"/>
  <c r="BB26" i="15"/>
  <c r="AB26" i="15"/>
  <c r="V26" i="15"/>
  <c r="X26" i="15"/>
  <c r="AK26" i="15"/>
  <c r="AZ26" i="15"/>
  <c r="R26" i="15"/>
  <c r="Z26" i="15"/>
  <c r="T26" i="15"/>
  <c r="AN26" i="15"/>
  <c r="AP26" i="15"/>
  <c r="AL26" i="15"/>
  <c r="BE26" i="15"/>
  <c r="BC26" i="15"/>
  <c r="BA26" i="15"/>
  <c r="AA26" i="15"/>
  <c r="U26" i="15"/>
  <c r="W26" i="15"/>
  <c r="AJ26" i="15"/>
  <c r="AY26" i="15"/>
  <c r="Y26" i="15"/>
  <c r="Q26" i="15"/>
  <c r="S26" i="15"/>
  <c r="D25" i="15"/>
  <c r="D18" i="22" s="1"/>
  <c r="F25" i="15"/>
  <c r="F18" i="22" s="1"/>
  <c r="L26" i="8"/>
  <c r="N26" i="8"/>
  <c r="P26" i="8"/>
  <c r="M26" i="8"/>
  <c r="O26" i="8"/>
  <c r="A27" i="8"/>
  <c r="K26" i="8"/>
  <c r="I26" i="8"/>
  <c r="G26" i="8"/>
  <c r="E26" i="8"/>
  <c r="C26" i="8"/>
  <c r="J26" i="8"/>
  <c r="H26" i="8"/>
  <c r="F26" i="8"/>
  <c r="D26" i="8"/>
  <c r="B26" i="8"/>
  <c r="A28" i="1"/>
  <c r="N27" i="1"/>
  <c r="P27" i="1"/>
  <c r="M27" i="1"/>
  <c r="O27" i="1"/>
  <c r="L27" i="1"/>
  <c r="G27" i="1"/>
  <c r="I27" i="1"/>
  <c r="K27" i="1"/>
  <c r="D27" i="1"/>
  <c r="F27" i="1"/>
  <c r="H27" i="1"/>
  <c r="J27" i="1"/>
  <c r="C27" i="1"/>
  <c r="E27" i="1"/>
  <c r="B27" i="1"/>
  <c r="D48" i="28" l="1"/>
  <c r="C48" i="28"/>
  <c r="E26" i="15"/>
  <c r="E19" i="22" s="1"/>
  <c r="BD27" i="15"/>
  <c r="BF27" i="15"/>
  <c r="AQ27" i="15"/>
  <c r="AM27" i="15"/>
  <c r="AB27" i="15"/>
  <c r="V27" i="15"/>
  <c r="AO27" i="15"/>
  <c r="BB27" i="15"/>
  <c r="X27" i="15"/>
  <c r="AK27" i="15"/>
  <c r="AZ27" i="15"/>
  <c r="R27" i="15"/>
  <c r="Z27" i="15"/>
  <c r="T27" i="15"/>
  <c r="G26" i="15"/>
  <c r="G19" i="22" s="1"/>
  <c r="D26" i="15"/>
  <c r="D19" i="22" s="1"/>
  <c r="F26" i="15"/>
  <c r="F19" i="22" s="1"/>
  <c r="BE27" i="15"/>
  <c r="AP27" i="15"/>
  <c r="BC27" i="15"/>
  <c r="BA27" i="15"/>
  <c r="AA27" i="15"/>
  <c r="AL27" i="15"/>
  <c r="AN27" i="15"/>
  <c r="U27" i="15"/>
  <c r="W27" i="15"/>
  <c r="AY27" i="15"/>
  <c r="AJ27" i="15"/>
  <c r="Y27" i="15"/>
  <c r="Q27" i="15"/>
  <c r="S27" i="15"/>
  <c r="L27" i="8"/>
  <c r="N27" i="8"/>
  <c r="P27" i="8"/>
  <c r="M27" i="8"/>
  <c r="O27" i="8"/>
  <c r="A28" i="8"/>
  <c r="K27" i="8"/>
  <c r="I27" i="8"/>
  <c r="G27" i="8"/>
  <c r="E27" i="8"/>
  <c r="C27" i="8"/>
  <c r="J27" i="8"/>
  <c r="H27" i="8"/>
  <c r="F27" i="8"/>
  <c r="D27" i="8"/>
  <c r="B27" i="8"/>
  <c r="A29" i="1"/>
  <c r="O28" i="1"/>
  <c r="L28" i="1"/>
  <c r="M28" i="1"/>
  <c r="N28" i="1"/>
  <c r="P28" i="1"/>
  <c r="G28" i="1"/>
  <c r="I28" i="1"/>
  <c r="K28" i="1"/>
  <c r="D28" i="1"/>
  <c r="F28" i="1"/>
  <c r="H28" i="1"/>
  <c r="J28" i="1"/>
  <c r="C28" i="1"/>
  <c r="E28" i="1"/>
  <c r="B28" i="1"/>
  <c r="D49" i="28" l="1"/>
  <c r="C49" i="28"/>
  <c r="E27" i="15"/>
  <c r="E20" i="22" s="1"/>
  <c r="O21" i="12" s="1"/>
  <c r="AL28" i="15"/>
  <c r="AP28" i="15"/>
  <c r="BA28" i="15"/>
  <c r="AN28" i="15"/>
  <c r="BE28" i="15"/>
  <c r="AA28" i="15"/>
  <c r="U28" i="15"/>
  <c r="BC28" i="15"/>
  <c r="W28" i="15"/>
  <c r="AJ28" i="15"/>
  <c r="AY28" i="15"/>
  <c r="Q28" i="15"/>
  <c r="Y28" i="15"/>
  <c r="S28" i="15"/>
  <c r="F27" i="15"/>
  <c r="G27" i="15"/>
  <c r="BD28" i="15"/>
  <c r="AQ28" i="15"/>
  <c r="BB28" i="15"/>
  <c r="AM28" i="15"/>
  <c r="BF28" i="15"/>
  <c r="AB28" i="15"/>
  <c r="V28" i="15"/>
  <c r="AO28" i="15"/>
  <c r="X28" i="15"/>
  <c r="AK28" i="15"/>
  <c r="AZ28" i="15"/>
  <c r="Z28" i="15"/>
  <c r="R28" i="15"/>
  <c r="T28" i="15"/>
  <c r="D27" i="15"/>
  <c r="L28" i="8"/>
  <c r="N28" i="8"/>
  <c r="P28" i="8"/>
  <c r="M28" i="8"/>
  <c r="O28" i="8"/>
  <c r="A29" i="8"/>
  <c r="K28" i="8"/>
  <c r="I28" i="8"/>
  <c r="G28" i="8"/>
  <c r="E28" i="8"/>
  <c r="C28" i="8"/>
  <c r="J28" i="8"/>
  <c r="H28" i="8"/>
  <c r="F28" i="8"/>
  <c r="D28" i="8"/>
  <c r="B28" i="8"/>
  <c r="A30" i="1"/>
  <c r="N29" i="1"/>
  <c r="P29" i="1"/>
  <c r="M29" i="1"/>
  <c r="O29" i="1"/>
  <c r="L29" i="1"/>
  <c r="G29" i="1"/>
  <c r="I29" i="1"/>
  <c r="K29" i="1"/>
  <c r="D29" i="1"/>
  <c r="F29" i="1"/>
  <c r="H29" i="1"/>
  <c r="J29" i="1"/>
  <c r="C29" i="1"/>
  <c r="E29" i="1"/>
  <c r="B29" i="1"/>
  <c r="D50" i="28" l="1"/>
  <c r="C50" i="28"/>
  <c r="D227" i="15"/>
  <c r="D229" i="15"/>
  <c r="G20" i="22"/>
  <c r="O22" i="12" s="1"/>
  <c r="AQ29" i="15"/>
  <c r="AM29" i="15"/>
  <c r="BD29" i="15"/>
  <c r="AO29" i="15"/>
  <c r="BB29" i="15"/>
  <c r="AB29" i="15"/>
  <c r="V29" i="15"/>
  <c r="BF29" i="15"/>
  <c r="X29" i="15"/>
  <c r="AZ29" i="15"/>
  <c r="AK29" i="15"/>
  <c r="R29" i="15"/>
  <c r="Z29" i="15"/>
  <c r="T29" i="15"/>
  <c r="D226" i="15"/>
  <c r="C235" i="15" s="1"/>
  <c r="D20" i="22"/>
  <c r="D228" i="15"/>
  <c r="C236" i="15" s="1"/>
  <c r="F20" i="22"/>
  <c r="E28" i="15"/>
  <c r="E21" i="22" s="1"/>
  <c r="G28" i="15"/>
  <c r="G21" i="22" s="1"/>
  <c r="F28" i="15"/>
  <c r="F21" i="22" s="1"/>
  <c r="BC29" i="15"/>
  <c r="AP29" i="15"/>
  <c r="AL29" i="15"/>
  <c r="BA29" i="15"/>
  <c r="AN29" i="15"/>
  <c r="U29" i="15"/>
  <c r="AA29" i="15"/>
  <c r="BE29" i="15"/>
  <c r="W29" i="15"/>
  <c r="AJ29" i="15"/>
  <c r="AY29" i="15"/>
  <c r="Y29" i="15"/>
  <c r="Q29" i="15"/>
  <c r="S29" i="15"/>
  <c r="D28" i="15"/>
  <c r="D21" i="22" s="1"/>
  <c r="L29" i="8"/>
  <c r="N29" i="8"/>
  <c r="P29" i="8"/>
  <c r="M29" i="8"/>
  <c r="O29" i="8"/>
  <c r="A30" i="8"/>
  <c r="K29" i="8"/>
  <c r="I29" i="8"/>
  <c r="G29" i="8"/>
  <c r="E29" i="8"/>
  <c r="C29" i="8"/>
  <c r="J29" i="8"/>
  <c r="H29" i="8"/>
  <c r="F29" i="8"/>
  <c r="D29" i="8"/>
  <c r="B29" i="8"/>
  <c r="A31" i="1"/>
  <c r="O30" i="1"/>
  <c r="L30" i="1"/>
  <c r="M30" i="1"/>
  <c r="N30" i="1"/>
  <c r="P30" i="1"/>
  <c r="G30" i="1"/>
  <c r="I30" i="1"/>
  <c r="K30" i="1"/>
  <c r="D30" i="1"/>
  <c r="F30" i="1"/>
  <c r="H30" i="1"/>
  <c r="J30" i="1"/>
  <c r="C30" i="1"/>
  <c r="E30" i="1"/>
  <c r="B30" i="1"/>
  <c r="D51" i="28" l="1"/>
  <c r="C51" i="28"/>
  <c r="F29" i="15"/>
  <c r="F22" i="22" s="1"/>
  <c r="E29" i="15"/>
  <c r="E22" i="22" s="1"/>
  <c r="D29" i="15"/>
  <c r="D22" i="22" s="1"/>
  <c r="BD30" i="15"/>
  <c r="AM30" i="15"/>
  <c r="AQ30" i="15"/>
  <c r="AO30" i="15"/>
  <c r="BF30" i="15"/>
  <c r="V30" i="15"/>
  <c r="AB30" i="15"/>
  <c r="BB30" i="15"/>
  <c r="X30" i="15"/>
  <c r="AK30" i="15"/>
  <c r="AZ30" i="15"/>
  <c r="Z30" i="15"/>
  <c r="R30" i="15"/>
  <c r="T30" i="15"/>
  <c r="BC30" i="15"/>
  <c r="AP30" i="15"/>
  <c r="AL30" i="15"/>
  <c r="BE30" i="15"/>
  <c r="BA30" i="15"/>
  <c r="AA30" i="15"/>
  <c r="AN30" i="15"/>
  <c r="U30" i="15"/>
  <c r="W30" i="15"/>
  <c r="AY30" i="15"/>
  <c r="AJ30" i="15"/>
  <c r="Q30" i="15"/>
  <c r="Y30" i="15"/>
  <c r="S30" i="15"/>
  <c r="G29" i="15"/>
  <c r="G22" i="22" s="1"/>
  <c r="L30" i="8"/>
  <c r="N30" i="8"/>
  <c r="P30" i="8"/>
  <c r="M30" i="8"/>
  <c r="O30" i="8"/>
  <c r="A31" i="8"/>
  <c r="K30" i="8"/>
  <c r="I30" i="8"/>
  <c r="G30" i="8"/>
  <c r="E30" i="8"/>
  <c r="C30" i="8"/>
  <c r="J30" i="8"/>
  <c r="H30" i="8"/>
  <c r="F30" i="8"/>
  <c r="D30" i="8"/>
  <c r="B30" i="8"/>
  <c r="A32" i="1"/>
  <c r="N31" i="1"/>
  <c r="P31" i="1"/>
  <c r="M31" i="1"/>
  <c r="O31" i="1"/>
  <c r="L31" i="1"/>
  <c r="G31" i="1"/>
  <c r="I31" i="1"/>
  <c r="K31" i="1"/>
  <c r="D31" i="1"/>
  <c r="F31" i="1"/>
  <c r="H31" i="1"/>
  <c r="J31" i="1"/>
  <c r="C31" i="1"/>
  <c r="E31" i="1"/>
  <c r="B31" i="1"/>
  <c r="D52" i="28" l="1"/>
  <c r="C52" i="28"/>
  <c r="D30" i="15"/>
  <c r="D23" i="22" s="1"/>
  <c r="E30" i="15"/>
  <c r="E23" i="22" s="1"/>
  <c r="BD31" i="15"/>
  <c r="AQ31" i="15"/>
  <c r="AM31" i="15"/>
  <c r="AO31" i="15"/>
  <c r="BB31" i="15"/>
  <c r="BF31" i="15"/>
  <c r="V31" i="15"/>
  <c r="AB31" i="15"/>
  <c r="X31" i="15"/>
  <c r="AK31" i="15"/>
  <c r="AZ31" i="15"/>
  <c r="Z31" i="15"/>
  <c r="R31" i="15"/>
  <c r="T31" i="15"/>
  <c r="G30" i="15"/>
  <c r="G23" i="22" s="1"/>
  <c r="AP31" i="15"/>
  <c r="AL31" i="15"/>
  <c r="AN31" i="15"/>
  <c r="BE31" i="15"/>
  <c r="AA31" i="15"/>
  <c r="U31" i="15"/>
  <c r="BA31" i="15"/>
  <c r="BC31" i="15"/>
  <c r="W31" i="15"/>
  <c r="AY31" i="15"/>
  <c r="AJ31" i="15"/>
  <c r="Q31" i="15"/>
  <c r="Y31" i="15"/>
  <c r="S31" i="15"/>
  <c r="F30" i="15"/>
  <c r="F23" i="22" s="1"/>
  <c r="L31" i="8"/>
  <c r="N31" i="8"/>
  <c r="P31" i="8"/>
  <c r="M31" i="8"/>
  <c r="O31" i="8"/>
  <c r="A32" i="8"/>
  <c r="K31" i="8"/>
  <c r="I31" i="8"/>
  <c r="G31" i="8"/>
  <c r="E31" i="8"/>
  <c r="C31" i="8"/>
  <c r="J31" i="8"/>
  <c r="H31" i="8"/>
  <c r="F31" i="8"/>
  <c r="D31" i="8"/>
  <c r="B31" i="8"/>
  <c r="A33" i="1"/>
  <c r="O32" i="1"/>
  <c r="L32" i="1"/>
  <c r="M32" i="1"/>
  <c r="N32" i="1"/>
  <c r="P32" i="1"/>
  <c r="G32" i="1"/>
  <c r="I32" i="1"/>
  <c r="K32" i="1"/>
  <c r="D32" i="1"/>
  <c r="F32" i="1"/>
  <c r="H32" i="1"/>
  <c r="J32" i="1"/>
  <c r="C32" i="1"/>
  <c r="E32" i="1"/>
  <c r="B32" i="1"/>
  <c r="D53" i="28" l="1"/>
  <c r="C53" i="28"/>
  <c r="E31" i="15"/>
  <c r="E24" i="22" s="1"/>
  <c r="F31" i="15"/>
  <c r="F24" i="22" s="1"/>
  <c r="BC32" i="15"/>
  <c r="AL32" i="15"/>
  <c r="AP32" i="15"/>
  <c r="BE32" i="15"/>
  <c r="BA32" i="15"/>
  <c r="AN32" i="15"/>
  <c r="U32" i="15"/>
  <c r="AA32" i="15"/>
  <c r="W32" i="15"/>
  <c r="AY32" i="15"/>
  <c r="AJ32" i="15"/>
  <c r="Q32" i="15"/>
  <c r="Y32" i="15"/>
  <c r="S32" i="15"/>
  <c r="G31" i="15"/>
  <c r="G24" i="22" s="1"/>
  <c r="BD32" i="15"/>
  <c r="AQ32" i="15"/>
  <c r="AO32" i="15"/>
  <c r="BB32" i="15"/>
  <c r="AB32" i="15"/>
  <c r="V32" i="15"/>
  <c r="BF32" i="15"/>
  <c r="AM32" i="15"/>
  <c r="X32" i="15"/>
  <c r="AK32" i="15"/>
  <c r="AZ32" i="15"/>
  <c r="Z32" i="15"/>
  <c r="R32" i="15"/>
  <c r="T32" i="15"/>
  <c r="D31" i="15"/>
  <c r="D24" i="22" s="1"/>
  <c r="L32" i="8"/>
  <c r="N32" i="8"/>
  <c r="P32" i="8"/>
  <c r="M32" i="8"/>
  <c r="O32" i="8"/>
  <c r="A33" i="8"/>
  <c r="K32" i="8"/>
  <c r="I32" i="8"/>
  <c r="G32" i="8"/>
  <c r="E32" i="8"/>
  <c r="C32" i="8"/>
  <c r="J32" i="8"/>
  <c r="H32" i="8"/>
  <c r="F32" i="8"/>
  <c r="D32" i="8"/>
  <c r="B32" i="8"/>
  <c r="A34" i="1"/>
  <c r="N33" i="1"/>
  <c r="P33" i="1"/>
  <c r="M33" i="1"/>
  <c r="O33" i="1"/>
  <c r="L33" i="1"/>
  <c r="G33" i="1"/>
  <c r="I33" i="1"/>
  <c r="K33" i="1"/>
  <c r="D33" i="1"/>
  <c r="F33" i="1"/>
  <c r="H33" i="1"/>
  <c r="J33" i="1"/>
  <c r="C33" i="1"/>
  <c r="E33" i="1"/>
  <c r="B33" i="1"/>
  <c r="D54" i="28" l="1"/>
  <c r="C54" i="28"/>
  <c r="G32" i="15"/>
  <c r="E229" i="15" s="1"/>
  <c r="E32" i="15"/>
  <c r="E25" i="22" s="1"/>
  <c r="P21" i="12" s="1"/>
  <c r="D32" i="15"/>
  <c r="AQ33" i="15"/>
  <c r="BD33" i="15"/>
  <c r="AM33" i="15"/>
  <c r="BF33" i="15"/>
  <c r="BB33" i="15"/>
  <c r="AO33" i="15"/>
  <c r="V33" i="15"/>
  <c r="AB33" i="15"/>
  <c r="X33" i="15"/>
  <c r="AZ33" i="15"/>
  <c r="AK33" i="15"/>
  <c r="R33" i="15"/>
  <c r="Z33" i="15"/>
  <c r="T33" i="15"/>
  <c r="AP33" i="15"/>
  <c r="AL33" i="15"/>
  <c r="BA33" i="15"/>
  <c r="BC33" i="15"/>
  <c r="BE33" i="15"/>
  <c r="AA33" i="15"/>
  <c r="AN33" i="15"/>
  <c r="U33" i="15"/>
  <c r="W33" i="15"/>
  <c r="AJ33" i="15"/>
  <c r="AY33" i="15"/>
  <c r="Q33" i="15"/>
  <c r="Y33" i="15"/>
  <c r="S33" i="15"/>
  <c r="F32" i="15"/>
  <c r="L33" i="8"/>
  <c r="N33" i="8"/>
  <c r="P33" i="8"/>
  <c r="M33" i="8"/>
  <c r="O33" i="8"/>
  <c r="A34" i="8"/>
  <c r="K33" i="8"/>
  <c r="I33" i="8"/>
  <c r="G33" i="8"/>
  <c r="E33" i="8"/>
  <c r="C33" i="8"/>
  <c r="J33" i="8"/>
  <c r="H33" i="8"/>
  <c r="F33" i="8"/>
  <c r="D33" i="8"/>
  <c r="B33" i="8"/>
  <c r="A35" i="1"/>
  <c r="O34" i="1"/>
  <c r="L34" i="1"/>
  <c r="M34" i="1"/>
  <c r="N34" i="1"/>
  <c r="P34" i="1"/>
  <c r="G34" i="1"/>
  <c r="I34" i="1"/>
  <c r="K34" i="1"/>
  <c r="D34" i="1"/>
  <c r="F34" i="1"/>
  <c r="H34" i="1"/>
  <c r="J34" i="1"/>
  <c r="C34" i="1"/>
  <c r="E34" i="1"/>
  <c r="B34" i="1"/>
  <c r="D55" i="28" l="1"/>
  <c r="C55" i="28"/>
  <c r="G25" i="22"/>
  <c r="P22" i="12" s="1"/>
  <c r="D33" i="15"/>
  <c r="D26" i="22" s="1"/>
  <c r="G33" i="15"/>
  <c r="G26" i="22" s="1"/>
  <c r="E227" i="15"/>
  <c r="F33" i="15"/>
  <c r="F26" i="22" s="1"/>
  <c r="AQ34" i="15"/>
  <c r="BF34" i="15"/>
  <c r="BD34" i="15"/>
  <c r="AM34" i="15"/>
  <c r="AB34" i="15"/>
  <c r="V34" i="15"/>
  <c r="BB34" i="15"/>
  <c r="AO34" i="15"/>
  <c r="X34" i="15"/>
  <c r="AZ34" i="15"/>
  <c r="AK34" i="15"/>
  <c r="R34" i="15"/>
  <c r="Z34" i="15"/>
  <c r="T34" i="15"/>
  <c r="E228" i="15"/>
  <c r="D236" i="15" s="1"/>
  <c r="F25" i="22"/>
  <c r="E226" i="15"/>
  <c r="D235" i="15" s="1"/>
  <c r="D25" i="22"/>
  <c r="AN34" i="15"/>
  <c r="BC34" i="15"/>
  <c r="AP34" i="15"/>
  <c r="BE34" i="15"/>
  <c r="U34" i="15"/>
  <c r="BA34" i="15"/>
  <c r="AA34" i="15"/>
  <c r="AL34" i="15"/>
  <c r="W34" i="15"/>
  <c r="AY34" i="15"/>
  <c r="AJ34" i="15"/>
  <c r="Q34" i="15"/>
  <c r="Y34" i="15"/>
  <c r="S34" i="15"/>
  <c r="E33" i="15"/>
  <c r="E26" i="22" s="1"/>
  <c r="L34" i="8"/>
  <c r="N34" i="8"/>
  <c r="P34" i="8"/>
  <c r="M34" i="8"/>
  <c r="O34" i="8"/>
  <c r="A35" i="8"/>
  <c r="K34" i="8"/>
  <c r="I34" i="8"/>
  <c r="G34" i="8"/>
  <c r="E34" i="8"/>
  <c r="C34" i="8"/>
  <c r="J34" i="8"/>
  <c r="H34" i="8"/>
  <c r="F34" i="8"/>
  <c r="D34" i="8"/>
  <c r="B34" i="8"/>
  <c r="A36" i="1"/>
  <c r="N35" i="1"/>
  <c r="P35" i="1"/>
  <c r="M35" i="1"/>
  <c r="O35" i="1"/>
  <c r="L35" i="1"/>
  <c r="G35" i="1"/>
  <c r="I35" i="1"/>
  <c r="K35" i="1"/>
  <c r="D35" i="1"/>
  <c r="F35" i="1"/>
  <c r="H35" i="1"/>
  <c r="J35" i="1"/>
  <c r="C35" i="1"/>
  <c r="E35" i="1"/>
  <c r="B35" i="1"/>
  <c r="D56" i="28" l="1"/>
  <c r="C56" i="28"/>
  <c r="G34" i="15"/>
  <c r="G27" i="22" s="1"/>
  <c r="D34" i="15"/>
  <c r="D27" i="22" s="1"/>
  <c r="BD35" i="15"/>
  <c r="AO35" i="15"/>
  <c r="AM35" i="15"/>
  <c r="BB35" i="15"/>
  <c r="BF35" i="15"/>
  <c r="AQ35" i="15"/>
  <c r="AB35" i="15"/>
  <c r="V35" i="15"/>
  <c r="X35" i="15"/>
  <c r="AZ35" i="15"/>
  <c r="AK35" i="15"/>
  <c r="Z35" i="15"/>
  <c r="R35" i="15"/>
  <c r="T35" i="15"/>
  <c r="E34" i="15"/>
  <c r="E27" i="22" s="1"/>
  <c r="BC35" i="15"/>
  <c r="BE35" i="15"/>
  <c r="AN35" i="15"/>
  <c r="AL35" i="15"/>
  <c r="AA35" i="15"/>
  <c r="AP35" i="15"/>
  <c r="BA35" i="15"/>
  <c r="U35" i="15"/>
  <c r="W35" i="15"/>
  <c r="AY35" i="15"/>
  <c r="AJ35" i="15"/>
  <c r="Q35" i="15"/>
  <c r="Y35" i="15"/>
  <c r="S35" i="15"/>
  <c r="F34" i="15"/>
  <c r="F27" i="22" s="1"/>
  <c r="L35" i="8"/>
  <c r="N35" i="8"/>
  <c r="P35" i="8"/>
  <c r="M35" i="8"/>
  <c r="O35" i="8"/>
  <c r="A36" i="8"/>
  <c r="K35" i="8"/>
  <c r="I35" i="8"/>
  <c r="G35" i="8"/>
  <c r="E35" i="8"/>
  <c r="C35" i="8"/>
  <c r="J35" i="8"/>
  <c r="H35" i="8"/>
  <c r="F35" i="8"/>
  <c r="D35" i="8"/>
  <c r="B35" i="8"/>
  <c r="A37" i="1"/>
  <c r="O36" i="1"/>
  <c r="L36" i="1"/>
  <c r="M36" i="1"/>
  <c r="N36" i="1"/>
  <c r="P36" i="1"/>
  <c r="G36" i="1"/>
  <c r="I36" i="1"/>
  <c r="K36" i="1"/>
  <c r="D36" i="1"/>
  <c r="F36" i="1"/>
  <c r="H36" i="1"/>
  <c r="J36" i="1"/>
  <c r="C36" i="1"/>
  <c r="E36" i="1"/>
  <c r="B36" i="1"/>
  <c r="D57" i="28" l="1"/>
  <c r="C57" i="28"/>
  <c r="D35" i="15"/>
  <c r="D28" i="22" s="1"/>
  <c r="G35" i="15"/>
  <c r="G28" i="22" s="1"/>
  <c r="F35" i="15"/>
  <c r="F28" i="22" s="1"/>
  <c r="AM36" i="15"/>
  <c r="BB36" i="15"/>
  <c r="AO36" i="15"/>
  <c r="BD36" i="15"/>
  <c r="BF36" i="15"/>
  <c r="V36" i="15"/>
  <c r="AQ36" i="15"/>
  <c r="AB36" i="15"/>
  <c r="X36" i="15"/>
  <c r="AZ36" i="15"/>
  <c r="AK36" i="15"/>
  <c r="R36" i="15"/>
  <c r="Z36" i="15"/>
  <c r="T36" i="15"/>
  <c r="BC36" i="15"/>
  <c r="AP36" i="15"/>
  <c r="AN36" i="15"/>
  <c r="BE36" i="15"/>
  <c r="AA36" i="15"/>
  <c r="BA36" i="15"/>
  <c r="U36" i="15"/>
  <c r="AL36" i="15"/>
  <c r="W36" i="15"/>
  <c r="AY36" i="15"/>
  <c r="AJ36" i="15"/>
  <c r="Y36" i="15"/>
  <c r="Q36" i="15"/>
  <c r="S36" i="15"/>
  <c r="E35" i="15"/>
  <c r="E28" i="22" s="1"/>
  <c r="L36" i="8"/>
  <c r="N36" i="8"/>
  <c r="P36" i="8"/>
  <c r="M36" i="8"/>
  <c r="O36" i="8"/>
  <c r="A37" i="8"/>
  <c r="K36" i="8"/>
  <c r="I36" i="8"/>
  <c r="G36" i="8"/>
  <c r="E36" i="8"/>
  <c r="C36" i="8"/>
  <c r="J36" i="8"/>
  <c r="H36" i="8"/>
  <c r="F36" i="8"/>
  <c r="D36" i="8"/>
  <c r="B36" i="8"/>
  <c r="A38" i="1"/>
  <c r="N37" i="1"/>
  <c r="P37" i="1"/>
  <c r="M37" i="1"/>
  <c r="O37" i="1"/>
  <c r="L37" i="1"/>
  <c r="G37" i="1"/>
  <c r="I37" i="1"/>
  <c r="K37" i="1"/>
  <c r="D37" i="1"/>
  <c r="F37" i="1"/>
  <c r="H37" i="1"/>
  <c r="J37" i="1"/>
  <c r="C37" i="1"/>
  <c r="E37" i="1"/>
  <c r="B37" i="1"/>
  <c r="D58" i="28" l="1"/>
  <c r="C58" i="28"/>
  <c r="D36" i="15"/>
  <c r="D29" i="22" s="1"/>
  <c r="AQ37" i="15"/>
  <c r="AM37" i="15"/>
  <c r="AO37" i="15"/>
  <c r="BB37" i="15"/>
  <c r="AB37" i="15"/>
  <c r="BD37" i="15"/>
  <c r="BF37" i="15"/>
  <c r="V37" i="15"/>
  <c r="X37" i="15"/>
  <c r="AK37" i="15"/>
  <c r="AZ37" i="15"/>
  <c r="Z37" i="15"/>
  <c r="R37" i="15"/>
  <c r="T37" i="15"/>
  <c r="BC37" i="15"/>
  <c r="AP37" i="15"/>
  <c r="AL37" i="15"/>
  <c r="BA37" i="15"/>
  <c r="AN37" i="15"/>
  <c r="BE37" i="15"/>
  <c r="AA37" i="15"/>
  <c r="U37" i="15"/>
  <c r="W37" i="15"/>
  <c r="AY37" i="15"/>
  <c r="AJ37" i="15"/>
  <c r="Y37" i="15"/>
  <c r="Q37" i="15"/>
  <c r="S37" i="15"/>
  <c r="G36" i="15"/>
  <c r="G29" i="22" s="1"/>
  <c r="F36" i="15"/>
  <c r="F29" i="22" s="1"/>
  <c r="E36" i="15"/>
  <c r="E29" i="22" s="1"/>
  <c r="L37" i="8"/>
  <c r="N37" i="8"/>
  <c r="P37" i="8"/>
  <c r="M37" i="8"/>
  <c r="O37" i="8"/>
  <c r="A38" i="8"/>
  <c r="K37" i="8"/>
  <c r="I37" i="8"/>
  <c r="G37" i="8"/>
  <c r="E37" i="8"/>
  <c r="C37" i="8"/>
  <c r="J37" i="8"/>
  <c r="H37" i="8"/>
  <c r="F37" i="8"/>
  <c r="D37" i="8"/>
  <c r="B37" i="8"/>
  <c r="A39" i="1"/>
  <c r="O38" i="1"/>
  <c r="L38" i="1"/>
  <c r="M38" i="1"/>
  <c r="N38" i="1"/>
  <c r="P38" i="1"/>
  <c r="G38" i="1"/>
  <c r="I38" i="1"/>
  <c r="K38" i="1"/>
  <c r="D38" i="1"/>
  <c r="F38" i="1"/>
  <c r="H38" i="1"/>
  <c r="J38" i="1"/>
  <c r="C38" i="1"/>
  <c r="E38" i="1"/>
  <c r="B38" i="1"/>
  <c r="D59" i="28" l="1"/>
  <c r="C59" i="28"/>
  <c r="E37" i="15"/>
  <c r="E30" i="22" s="1"/>
  <c r="BD38" i="15"/>
  <c r="AQ38" i="15"/>
  <c r="AM38" i="15"/>
  <c r="AO38" i="15"/>
  <c r="BF38" i="15"/>
  <c r="BB38" i="15"/>
  <c r="AB38" i="15"/>
  <c r="V38" i="15"/>
  <c r="X38" i="15"/>
  <c r="AK38" i="15"/>
  <c r="AZ38" i="15"/>
  <c r="Z38" i="15"/>
  <c r="R38" i="15"/>
  <c r="T38" i="15"/>
  <c r="AL38" i="15"/>
  <c r="BC38" i="15"/>
  <c r="AP38" i="15"/>
  <c r="BA38" i="15"/>
  <c r="AN38" i="15"/>
  <c r="BE38" i="15"/>
  <c r="U38" i="15"/>
  <c r="AA38" i="15"/>
  <c r="W38" i="15"/>
  <c r="AJ38" i="15"/>
  <c r="AY38" i="15"/>
  <c r="Y38" i="15"/>
  <c r="Q38" i="15"/>
  <c r="S38" i="15"/>
  <c r="D37" i="15"/>
  <c r="D30" i="22" s="1"/>
  <c r="G37" i="15"/>
  <c r="G30" i="22" s="1"/>
  <c r="F37" i="15"/>
  <c r="F30" i="22" s="1"/>
  <c r="L38" i="8"/>
  <c r="N38" i="8"/>
  <c r="P38" i="8"/>
  <c r="M38" i="8"/>
  <c r="O38" i="8"/>
  <c r="A39" i="8"/>
  <c r="K38" i="8"/>
  <c r="I38" i="8"/>
  <c r="G38" i="8"/>
  <c r="E38" i="8"/>
  <c r="C38" i="8"/>
  <c r="J38" i="8"/>
  <c r="H38" i="8"/>
  <c r="F38" i="8"/>
  <c r="D38" i="8"/>
  <c r="B38" i="8"/>
  <c r="A40" i="1"/>
  <c r="N39" i="1"/>
  <c r="P39" i="1"/>
  <c r="M39" i="1"/>
  <c r="O39" i="1"/>
  <c r="L39" i="1"/>
  <c r="G39" i="1"/>
  <c r="I39" i="1"/>
  <c r="K39" i="1"/>
  <c r="D39" i="1"/>
  <c r="F39" i="1"/>
  <c r="H39" i="1"/>
  <c r="J39" i="1"/>
  <c r="C39" i="1"/>
  <c r="E39" i="1"/>
  <c r="B39" i="1"/>
  <c r="D60" i="28" l="1"/>
  <c r="C60" i="28"/>
  <c r="F38" i="15"/>
  <c r="F31" i="22" s="1"/>
  <c r="E38" i="15"/>
  <c r="E31" i="22" s="1"/>
  <c r="AQ39" i="15"/>
  <c r="AM39" i="15"/>
  <c r="BB39" i="15"/>
  <c r="AO39" i="15"/>
  <c r="V39" i="15"/>
  <c r="BD39" i="15"/>
  <c r="AB39" i="15"/>
  <c r="BF39" i="15"/>
  <c r="X39" i="15"/>
  <c r="AZ39" i="15"/>
  <c r="AK39" i="15"/>
  <c r="Z39" i="15"/>
  <c r="R39" i="15"/>
  <c r="T39" i="15"/>
  <c r="BC39" i="15"/>
  <c r="AP39" i="15"/>
  <c r="AN39" i="15"/>
  <c r="AL39" i="15"/>
  <c r="BE39" i="15"/>
  <c r="AA39" i="15"/>
  <c r="BA39" i="15"/>
  <c r="U39" i="15"/>
  <c r="W39" i="15"/>
  <c r="AY39" i="15"/>
  <c r="AJ39" i="15"/>
  <c r="Q39" i="15"/>
  <c r="Y39" i="15"/>
  <c r="S39" i="15"/>
  <c r="G38" i="15"/>
  <c r="G31" i="22" s="1"/>
  <c r="D38" i="15"/>
  <c r="D31" i="22" s="1"/>
  <c r="L39" i="8"/>
  <c r="N39" i="8"/>
  <c r="P39" i="8"/>
  <c r="M39" i="8"/>
  <c r="O39" i="8"/>
  <c r="A40" i="8"/>
  <c r="K39" i="8"/>
  <c r="I39" i="8"/>
  <c r="G39" i="8"/>
  <c r="E39" i="8"/>
  <c r="C39" i="8"/>
  <c r="J39" i="8"/>
  <c r="H39" i="8"/>
  <c r="F39" i="8"/>
  <c r="D39" i="8"/>
  <c r="B39" i="8"/>
  <c r="A41" i="1"/>
  <c r="O40" i="1"/>
  <c r="L40" i="1"/>
  <c r="M40" i="1"/>
  <c r="N40" i="1"/>
  <c r="P40" i="1"/>
  <c r="G40" i="1"/>
  <c r="I40" i="1"/>
  <c r="K40" i="1"/>
  <c r="D40" i="1"/>
  <c r="F40" i="1"/>
  <c r="H40" i="1"/>
  <c r="J40" i="1"/>
  <c r="C40" i="1"/>
  <c r="E40" i="1"/>
  <c r="B40" i="1"/>
  <c r="D61" i="28" l="1"/>
  <c r="C61" i="28"/>
  <c r="D39" i="15"/>
  <c r="D32" i="22" s="1"/>
  <c r="G39" i="15"/>
  <c r="G32" i="22" s="1"/>
  <c r="AQ40" i="15"/>
  <c r="AM40" i="15"/>
  <c r="AO40" i="15"/>
  <c r="BB40" i="15"/>
  <c r="AB40" i="15"/>
  <c r="V40" i="15"/>
  <c r="BF40" i="15"/>
  <c r="BD40" i="15"/>
  <c r="X40" i="15"/>
  <c r="AZ40" i="15"/>
  <c r="AK40" i="15"/>
  <c r="R40" i="15"/>
  <c r="Z40" i="15"/>
  <c r="T40" i="15"/>
  <c r="BC40" i="15"/>
  <c r="AL40" i="15"/>
  <c r="BE40" i="15"/>
  <c r="BA40" i="15"/>
  <c r="AN40" i="15"/>
  <c r="AP40" i="15"/>
  <c r="AA40" i="15"/>
  <c r="U40" i="15"/>
  <c r="W40" i="15"/>
  <c r="AY40" i="15"/>
  <c r="AJ40" i="15"/>
  <c r="Y40" i="15"/>
  <c r="Q40" i="15"/>
  <c r="S40" i="15"/>
  <c r="E39" i="15"/>
  <c r="E32" i="22" s="1"/>
  <c r="F39" i="15"/>
  <c r="F32" i="22" s="1"/>
  <c r="L40" i="8"/>
  <c r="N40" i="8"/>
  <c r="P40" i="8"/>
  <c r="M40" i="8"/>
  <c r="O40" i="8"/>
  <c r="A41" i="8"/>
  <c r="K40" i="8"/>
  <c r="I40" i="8"/>
  <c r="G40" i="8"/>
  <c r="E40" i="8"/>
  <c r="C40" i="8"/>
  <c r="J40" i="8"/>
  <c r="H40" i="8"/>
  <c r="F40" i="8"/>
  <c r="D40" i="8"/>
  <c r="B40" i="8"/>
  <c r="A42" i="1"/>
  <c r="N41" i="1"/>
  <c r="P41" i="1"/>
  <c r="M41" i="1"/>
  <c r="O41" i="1"/>
  <c r="L41" i="1"/>
  <c r="G41" i="1"/>
  <c r="I41" i="1"/>
  <c r="K41" i="1"/>
  <c r="D41" i="1"/>
  <c r="F41" i="1"/>
  <c r="H41" i="1"/>
  <c r="J41" i="1"/>
  <c r="C41" i="1"/>
  <c r="E41" i="1"/>
  <c r="B41" i="1"/>
  <c r="D62" i="28" l="1"/>
  <c r="C62" i="28"/>
  <c r="D40" i="15"/>
  <c r="D33" i="22" s="1"/>
  <c r="G40" i="15"/>
  <c r="G33" i="22" s="1"/>
  <c r="AQ41" i="15"/>
  <c r="BD41" i="15"/>
  <c r="AM41" i="15"/>
  <c r="BF41" i="15"/>
  <c r="AB41" i="15"/>
  <c r="AO41" i="15"/>
  <c r="BB41" i="15"/>
  <c r="V41" i="15"/>
  <c r="X41" i="15"/>
  <c r="AZ41" i="15"/>
  <c r="AK41" i="15"/>
  <c r="Z41" i="15"/>
  <c r="R41" i="15"/>
  <c r="T41" i="15"/>
  <c r="AP41" i="15"/>
  <c r="BC41" i="15"/>
  <c r="AL41" i="15"/>
  <c r="AN41" i="15"/>
  <c r="BA41" i="15"/>
  <c r="BE41" i="15"/>
  <c r="AA41" i="15"/>
  <c r="U41" i="15"/>
  <c r="W41" i="15"/>
  <c r="AY41" i="15"/>
  <c r="AJ41" i="15"/>
  <c r="Q41" i="15"/>
  <c r="Y41" i="15"/>
  <c r="S41" i="15"/>
  <c r="E40" i="15"/>
  <c r="E33" i="22" s="1"/>
  <c r="F40" i="15"/>
  <c r="F33" i="22" s="1"/>
  <c r="L41" i="8"/>
  <c r="N41" i="8"/>
  <c r="P41" i="8"/>
  <c r="M41" i="8"/>
  <c r="O41" i="8"/>
  <c r="A42" i="8"/>
  <c r="K41" i="8"/>
  <c r="I41" i="8"/>
  <c r="G41" i="8"/>
  <c r="E41" i="8"/>
  <c r="C41" i="8"/>
  <c r="J41" i="8"/>
  <c r="F41" i="8"/>
  <c r="B41" i="8"/>
  <c r="H41" i="8"/>
  <c r="D41" i="8"/>
  <c r="A43" i="1"/>
  <c r="O42" i="1"/>
  <c r="L42" i="1"/>
  <c r="M42" i="1"/>
  <c r="N42" i="1"/>
  <c r="P42" i="1"/>
  <c r="G42" i="1"/>
  <c r="I42" i="1"/>
  <c r="K42" i="1"/>
  <c r="D42" i="1"/>
  <c r="F42" i="1"/>
  <c r="H42" i="1"/>
  <c r="J42" i="1"/>
  <c r="C42" i="1"/>
  <c r="E42" i="1"/>
  <c r="B42" i="1"/>
  <c r="D63" i="28" l="1"/>
  <c r="C63" i="28"/>
  <c r="D41" i="15"/>
  <c r="D34" i="22" s="1"/>
  <c r="G41" i="15"/>
  <c r="G34" i="22" s="1"/>
  <c r="AN42" i="15"/>
  <c r="AP42" i="15"/>
  <c r="AL42" i="15"/>
  <c r="BA42" i="15"/>
  <c r="BE42" i="15"/>
  <c r="BC42" i="15"/>
  <c r="AA42" i="15"/>
  <c r="U42" i="15"/>
  <c r="W42" i="15"/>
  <c r="AJ42" i="15"/>
  <c r="AY42" i="15"/>
  <c r="Y42" i="15"/>
  <c r="Q42" i="15"/>
  <c r="S42" i="15"/>
  <c r="AM42" i="15"/>
  <c r="BF42" i="15"/>
  <c r="AO42" i="15"/>
  <c r="BB42" i="15"/>
  <c r="BD42" i="15"/>
  <c r="V42" i="15"/>
  <c r="AQ42" i="15"/>
  <c r="AB42" i="15"/>
  <c r="X42" i="15"/>
  <c r="AK42" i="15"/>
  <c r="AZ42" i="15"/>
  <c r="Z42" i="15"/>
  <c r="R42" i="15"/>
  <c r="T42" i="15"/>
  <c r="E41" i="15"/>
  <c r="E34" i="22" s="1"/>
  <c r="F41" i="15"/>
  <c r="F34" i="22" s="1"/>
  <c r="L42" i="8"/>
  <c r="N42" i="8"/>
  <c r="P42" i="8"/>
  <c r="M42" i="8"/>
  <c r="O42" i="8"/>
  <c r="J42" i="8"/>
  <c r="H42" i="8"/>
  <c r="F42" i="8"/>
  <c r="D42" i="8"/>
  <c r="B42" i="8"/>
  <c r="A43" i="8"/>
  <c r="K42" i="8"/>
  <c r="I42" i="8"/>
  <c r="G42" i="8"/>
  <c r="E42" i="8"/>
  <c r="C42" i="8"/>
  <c r="A44" i="1"/>
  <c r="N43" i="1"/>
  <c r="P43" i="1"/>
  <c r="M43" i="1"/>
  <c r="O43" i="1"/>
  <c r="L43" i="1"/>
  <c r="G43" i="1"/>
  <c r="I43" i="1"/>
  <c r="K43" i="1"/>
  <c r="D43" i="1"/>
  <c r="F43" i="1"/>
  <c r="H43" i="1"/>
  <c r="J43" i="1"/>
  <c r="C43" i="1"/>
  <c r="E43" i="1"/>
  <c r="B43" i="1"/>
  <c r="D64" i="28" l="1"/>
  <c r="C64" i="28"/>
  <c r="G42" i="15"/>
  <c r="G35" i="22" s="1"/>
  <c r="BC43" i="15"/>
  <c r="AN43" i="15"/>
  <c r="BE43" i="15"/>
  <c r="AP43" i="15"/>
  <c r="AL43" i="15"/>
  <c r="U43" i="15"/>
  <c r="AA43" i="15"/>
  <c r="BA43" i="15"/>
  <c r="W43" i="15"/>
  <c r="AY43" i="15"/>
  <c r="AJ43" i="15"/>
  <c r="Y43" i="15"/>
  <c r="Q43" i="15"/>
  <c r="S43" i="15"/>
  <c r="BD43" i="15"/>
  <c r="BF43" i="15"/>
  <c r="AQ43" i="15"/>
  <c r="AO43" i="15"/>
  <c r="AB43" i="15"/>
  <c r="V43" i="15"/>
  <c r="AM43" i="15"/>
  <c r="BB43" i="15"/>
  <c r="X43" i="15"/>
  <c r="AZ43" i="15"/>
  <c r="AK43" i="15"/>
  <c r="E43" i="15" s="1"/>
  <c r="E36" i="22" s="1"/>
  <c r="Z43" i="15"/>
  <c r="R43" i="15"/>
  <c r="T43" i="15"/>
  <c r="D42" i="15"/>
  <c r="D35" i="22" s="1"/>
  <c r="F42" i="15"/>
  <c r="F35" i="22" s="1"/>
  <c r="E42" i="15"/>
  <c r="E35" i="22" s="1"/>
  <c r="L43" i="8"/>
  <c r="N43" i="8"/>
  <c r="P43" i="8"/>
  <c r="M43" i="8"/>
  <c r="O43" i="8"/>
  <c r="J43" i="8"/>
  <c r="H43" i="8"/>
  <c r="F43" i="8"/>
  <c r="D43" i="8"/>
  <c r="B43" i="8"/>
  <c r="A44" i="8"/>
  <c r="K43" i="8"/>
  <c r="I43" i="8"/>
  <c r="G43" i="8"/>
  <c r="E43" i="8"/>
  <c r="C43" i="8"/>
  <c r="A45" i="1"/>
  <c r="O44" i="1"/>
  <c r="L44" i="1"/>
  <c r="M44" i="1"/>
  <c r="N44" i="1"/>
  <c r="P44" i="1"/>
  <c r="G44" i="1"/>
  <c r="I44" i="1"/>
  <c r="K44" i="1"/>
  <c r="D44" i="1"/>
  <c r="F44" i="1"/>
  <c r="H44" i="1"/>
  <c r="J44" i="1"/>
  <c r="C44" i="1"/>
  <c r="E44" i="1"/>
  <c r="B44" i="1"/>
  <c r="D65" i="28" l="1"/>
  <c r="C65" i="28"/>
  <c r="G43" i="15"/>
  <c r="G36" i="22" s="1"/>
  <c r="AL44" i="15"/>
  <c r="AP44" i="15"/>
  <c r="BA44" i="15"/>
  <c r="BC44" i="15"/>
  <c r="AN44" i="15"/>
  <c r="AA44" i="15"/>
  <c r="BE44" i="15"/>
  <c r="U44" i="15"/>
  <c r="W44" i="15"/>
  <c r="AY44" i="15"/>
  <c r="AJ44" i="15"/>
  <c r="Q44" i="15"/>
  <c r="Y44" i="15"/>
  <c r="S44" i="15"/>
  <c r="BD44" i="15"/>
  <c r="AQ44" i="15"/>
  <c r="BB44" i="15"/>
  <c r="AM44" i="15"/>
  <c r="BF44" i="15"/>
  <c r="AO44" i="15"/>
  <c r="AB44" i="15"/>
  <c r="V44" i="15"/>
  <c r="X44" i="15"/>
  <c r="AZ44" i="15"/>
  <c r="AK44" i="15"/>
  <c r="Z44" i="15"/>
  <c r="R44" i="15"/>
  <c r="T44" i="15"/>
  <c r="F43" i="15"/>
  <c r="F36" i="22" s="1"/>
  <c r="D43" i="15"/>
  <c r="D36" i="22" s="1"/>
  <c r="L44" i="8"/>
  <c r="N44" i="8"/>
  <c r="P44" i="8"/>
  <c r="M44" i="8"/>
  <c r="O44" i="8"/>
  <c r="J44" i="8"/>
  <c r="H44" i="8"/>
  <c r="F44" i="8"/>
  <c r="D44" i="8"/>
  <c r="B44" i="8"/>
  <c r="A45" i="8"/>
  <c r="K44" i="8"/>
  <c r="I44" i="8"/>
  <c r="G44" i="8"/>
  <c r="E44" i="8"/>
  <c r="C44" i="8"/>
  <c r="A46" i="1"/>
  <c r="N45" i="1"/>
  <c r="P45" i="1"/>
  <c r="M45" i="1"/>
  <c r="O45" i="1"/>
  <c r="L45" i="1"/>
  <c r="G45" i="1"/>
  <c r="I45" i="1"/>
  <c r="K45" i="1"/>
  <c r="D45" i="1"/>
  <c r="F45" i="1"/>
  <c r="H45" i="1"/>
  <c r="J45" i="1"/>
  <c r="C45" i="1"/>
  <c r="E45" i="1"/>
  <c r="B45" i="1"/>
  <c r="D66" i="28" l="1"/>
  <c r="C66" i="28"/>
  <c r="F44" i="15"/>
  <c r="F37" i="22" s="1"/>
  <c r="E44" i="15"/>
  <c r="E37" i="22" s="1"/>
  <c r="D44" i="15"/>
  <c r="D37" i="22" s="1"/>
  <c r="AP45" i="15"/>
  <c r="AL45" i="15"/>
  <c r="BA45" i="15"/>
  <c r="BC45" i="15"/>
  <c r="U45" i="15"/>
  <c r="BE45" i="15"/>
  <c r="AA45" i="15"/>
  <c r="AN45" i="15"/>
  <c r="W45" i="15"/>
  <c r="AY45" i="15"/>
  <c r="AJ45" i="15"/>
  <c r="Q45" i="15"/>
  <c r="Y45" i="15"/>
  <c r="S45" i="15"/>
  <c r="AQ45" i="15"/>
  <c r="AM45" i="15"/>
  <c r="BD45" i="15"/>
  <c r="AB45" i="15"/>
  <c r="BF45" i="15"/>
  <c r="BB45" i="15"/>
  <c r="X45" i="15"/>
  <c r="AO45" i="15"/>
  <c r="V45" i="15"/>
  <c r="AZ45" i="15"/>
  <c r="AK45" i="15"/>
  <c r="Z45" i="15"/>
  <c r="R45" i="15"/>
  <c r="T45" i="15"/>
  <c r="G44" i="15"/>
  <c r="G37" i="22" s="1"/>
  <c r="L45" i="8"/>
  <c r="N45" i="8"/>
  <c r="P45" i="8"/>
  <c r="M45" i="8"/>
  <c r="O45" i="8"/>
  <c r="J45" i="8"/>
  <c r="H45" i="8"/>
  <c r="F45" i="8"/>
  <c r="D45" i="8"/>
  <c r="B45" i="8"/>
  <c r="A46" i="8"/>
  <c r="K45" i="8"/>
  <c r="I45" i="8"/>
  <c r="G45" i="8"/>
  <c r="E45" i="8"/>
  <c r="C45" i="8"/>
  <c r="A47" i="1"/>
  <c r="O46" i="1"/>
  <c r="L46" i="1"/>
  <c r="M46" i="1"/>
  <c r="N46" i="1"/>
  <c r="P46" i="1"/>
  <c r="G46" i="1"/>
  <c r="I46" i="1"/>
  <c r="K46" i="1"/>
  <c r="D46" i="1"/>
  <c r="F46" i="1"/>
  <c r="H46" i="1"/>
  <c r="J46" i="1"/>
  <c r="C46" i="1"/>
  <c r="E46" i="1"/>
  <c r="B46" i="1"/>
  <c r="C67" i="28" l="1"/>
  <c r="D67" i="28"/>
  <c r="E45" i="15"/>
  <c r="E38" i="22" s="1"/>
  <c r="F45" i="15"/>
  <c r="F38" i="22" s="1"/>
  <c r="AM46" i="15"/>
  <c r="AO46" i="15"/>
  <c r="BF46" i="15"/>
  <c r="BD46" i="15"/>
  <c r="AQ46" i="15"/>
  <c r="BB46" i="15"/>
  <c r="AB46" i="15"/>
  <c r="V46" i="15"/>
  <c r="X46" i="15"/>
  <c r="AZ46" i="15"/>
  <c r="AK46" i="15"/>
  <c r="Z46" i="15"/>
  <c r="R46" i="15"/>
  <c r="T46" i="15"/>
  <c r="D45" i="15"/>
  <c r="D38" i="22" s="1"/>
  <c r="G45" i="15"/>
  <c r="G38" i="22" s="1"/>
  <c r="BC46" i="15"/>
  <c r="AP46" i="15"/>
  <c r="BE46" i="15"/>
  <c r="BA46" i="15"/>
  <c r="AL46" i="15"/>
  <c r="AA46" i="15"/>
  <c r="U46" i="15"/>
  <c r="W46" i="15"/>
  <c r="AN46" i="15"/>
  <c r="AJ46" i="15"/>
  <c r="AY46" i="15"/>
  <c r="Y46" i="15"/>
  <c r="Q46" i="15"/>
  <c r="S46" i="15"/>
  <c r="L46" i="8"/>
  <c r="N46" i="8"/>
  <c r="P46" i="8"/>
  <c r="M46" i="8"/>
  <c r="O46" i="8"/>
  <c r="J46" i="8"/>
  <c r="H46" i="8"/>
  <c r="F46" i="8"/>
  <c r="D46" i="8"/>
  <c r="B46" i="8"/>
  <c r="A47" i="8"/>
  <c r="K46" i="8"/>
  <c r="I46" i="8"/>
  <c r="G46" i="8"/>
  <c r="E46" i="8"/>
  <c r="C46" i="8"/>
  <c r="A48" i="1"/>
  <c r="N47" i="1"/>
  <c r="P47" i="1"/>
  <c r="M47" i="1"/>
  <c r="O47" i="1"/>
  <c r="L47" i="1"/>
  <c r="G47" i="1"/>
  <c r="I47" i="1"/>
  <c r="K47" i="1"/>
  <c r="D47" i="1"/>
  <c r="F47" i="1"/>
  <c r="H47" i="1"/>
  <c r="J47" i="1"/>
  <c r="C47" i="1"/>
  <c r="E47" i="1"/>
  <c r="B47" i="1"/>
  <c r="C68" i="28" l="1"/>
  <c r="D68" i="28"/>
  <c r="D46" i="15"/>
  <c r="D39" i="22" s="1"/>
  <c r="F46" i="15"/>
  <c r="F39" i="22" s="1"/>
  <c r="G46" i="15"/>
  <c r="G39" i="22" s="1"/>
  <c r="BC47" i="15"/>
  <c r="AP47" i="15"/>
  <c r="AL47" i="15"/>
  <c r="BE47" i="15"/>
  <c r="AN47" i="15"/>
  <c r="BA47" i="15"/>
  <c r="AA47" i="15"/>
  <c r="U47" i="15"/>
  <c r="W47" i="15"/>
  <c r="AY47" i="15"/>
  <c r="AJ47" i="15"/>
  <c r="Y47" i="15"/>
  <c r="Q47" i="15"/>
  <c r="S47" i="15"/>
  <c r="BD47" i="15"/>
  <c r="AQ47" i="15"/>
  <c r="AM47" i="15"/>
  <c r="AO47" i="15"/>
  <c r="BB47" i="15"/>
  <c r="BF47" i="15"/>
  <c r="AB47" i="15"/>
  <c r="V47" i="15"/>
  <c r="X47" i="15"/>
  <c r="AK47" i="15"/>
  <c r="AZ47" i="15"/>
  <c r="R47" i="15"/>
  <c r="Z47" i="15"/>
  <c r="T47" i="15"/>
  <c r="E46" i="15"/>
  <c r="E39" i="22" s="1"/>
  <c r="L47" i="8"/>
  <c r="N47" i="8"/>
  <c r="P47" i="8"/>
  <c r="M47" i="8"/>
  <c r="O47" i="8"/>
  <c r="J47" i="8"/>
  <c r="H47" i="8"/>
  <c r="F47" i="8"/>
  <c r="D47" i="8"/>
  <c r="B47" i="8"/>
  <c r="A48" i="8"/>
  <c r="K47" i="8"/>
  <c r="I47" i="8"/>
  <c r="G47" i="8"/>
  <c r="E47" i="8"/>
  <c r="C47" i="8"/>
  <c r="A49" i="1"/>
  <c r="O48" i="1"/>
  <c r="L48" i="1"/>
  <c r="M48" i="1"/>
  <c r="N48" i="1"/>
  <c r="P48" i="1"/>
  <c r="G48" i="1"/>
  <c r="I48" i="1"/>
  <c r="K48" i="1"/>
  <c r="D48" i="1"/>
  <c r="F48" i="1"/>
  <c r="H48" i="1"/>
  <c r="J48" i="1"/>
  <c r="C48" i="1"/>
  <c r="E48" i="1"/>
  <c r="B48" i="1"/>
  <c r="D69" i="28" l="1"/>
  <c r="C69" i="28"/>
  <c r="F47" i="15"/>
  <c r="F40" i="22" s="1"/>
  <c r="BD48" i="15"/>
  <c r="AQ48" i="15"/>
  <c r="AO48" i="15"/>
  <c r="BB48" i="15"/>
  <c r="AM48" i="15"/>
  <c r="BF48" i="15"/>
  <c r="AB48" i="15"/>
  <c r="V48" i="15"/>
  <c r="X48" i="15"/>
  <c r="AZ48" i="15"/>
  <c r="AK48" i="15"/>
  <c r="R48" i="15"/>
  <c r="Z48" i="15"/>
  <c r="T48" i="15"/>
  <c r="E47" i="15"/>
  <c r="E40" i="22" s="1"/>
  <c r="G47" i="15"/>
  <c r="G40" i="22" s="1"/>
  <c r="BC48" i="15"/>
  <c r="AL48" i="15"/>
  <c r="AP48" i="15"/>
  <c r="BE48" i="15"/>
  <c r="BA48" i="15"/>
  <c r="AN48" i="15"/>
  <c r="U48" i="15"/>
  <c r="AA48" i="15"/>
  <c r="W48" i="15"/>
  <c r="AJ48" i="15"/>
  <c r="AY48" i="15"/>
  <c r="Y48" i="15"/>
  <c r="Q48" i="15"/>
  <c r="S48" i="15"/>
  <c r="D47" i="15"/>
  <c r="D40" i="22" s="1"/>
  <c r="L48" i="8"/>
  <c r="N48" i="8"/>
  <c r="P48" i="8"/>
  <c r="M48" i="8"/>
  <c r="O48" i="8"/>
  <c r="J48" i="8"/>
  <c r="H48" i="8"/>
  <c r="F48" i="8"/>
  <c r="D48" i="8"/>
  <c r="B48" i="8"/>
  <c r="A49" i="8"/>
  <c r="K48" i="8"/>
  <c r="I48" i="8"/>
  <c r="G48" i="8"/>
  <c r="E48" i="8"/>
  <c r="C48" i="8"/>
  <c r="A50" i="1"/>
  <c r="N49" i="1"/>
  <c r="P49" i="1"/>
  <c r="M49" i="1"/>
  <c r="O49" i="1"/>
  <c r="L49" i="1"/>
  <c r="G49" i="1"/>
  <c r="I49" i="1"/>
  <c r="K49" i="1"/>
  <c r="D49" i="1"/>
  <c r="F49" i="1"/>
  <c r="H49" i="1"/>
  <c r="J49" i="1"/>
  <c r="C49" i="1"/>
  <c r="E49" i="1"/>
  <c r="B49" i="1"/>
  <c r="D70" i="28" l="1"/>
  <c r="C70" i="28"/>
  <c r="D48" i="15"/>
  <c r="D41" i="22" s="1"/>
  <c r="G48" i="15"/>
  <c r="G41" i="22" s="1"/>
  <c r="F48" i="15"/>
  <c r="F41" i="22" s="1"/>
  <c r="BC49" i="15"/>
  <c r="AP49" i="15"/>
  <c r="AL49" i="15"/>
  <c r="BA49" i="15"/>
  <c r="AN49" i="15"/>
  <c r="BE49" i="15"/>
  <c r="AA49" i="15"/>
  <c r="U49" i="15"/>
  <c r="W49" i="15"/>
  <c r="AJ49" i="15"/>
  <c r="AY49" i="15"/>
  <c r="Q49" i="15"/>
  <c r="Y49" i="15"/>
  <c r="S49" i="15"/>
  <c r="AQ49" i="15"/>
  <c r="BD49" i="15"/>
  <c r="AM49" i="15"/>
  <c r="BF49" i="15"/>
  <c r="BB49" i="15"/>
  <c r="AO49" i="15"/>
  <c r="AB49" i="15"/>
  <c r="V49" i="15"/>
  <c r="X49" i="15"/>
  <c r="AZ49" i="15"/>
  <c r="AK49" i="15"/>
  <c r="R49" i="15"/>
  <c r="Z49" i="15"/>
  <c r="T49" i="15"/>
  <c r="E48" i="15"/>
  <c r="E41" i="22" s="1"/>
  <c r="L49" i="8"/>
  <c r="N49" i="8"/>
  <c r="P49" i="8"/>
  <c r="M49" i="8"/>
  <c r="O49" i="8"/>
  <c r="J49" i="8"/>
  <c r="H49" i="8"/>
  <c r="F49" i="8"/>
  <c r="D49" i="8"/>
  <c r="B49" i="8"/>
  <c r="A50" i="8"/>
  <c r="K49" i="8"/>
  <c r="I49" i="8"/>
  <c r="G49" i="8"/>
  <c r="E49" i="8"/>
  <c r="C49" i="8"/>
  <c r="A51" i="1"/>
  <c r="O50" i="1"/>
  <c r="L50" i="1"/>
  <c r="M50" i="1"/>
  <c r="N50" i="1"/>
  <c r="P50" i="1"/>
  <c r="G50" i="1"/>
  <c r="I50" i="1"/>
  <c r="K50" i="1"/>
  <c r="D50" i="1"/>
  <c r="F50" i="1"/>
  <c r="H50" i="1"/>
  <c r="J50" i="1"/>
  <c r="C50" i="1"/>
  <c r="E50" i="1"/>
  <c r="B50" i="1"/>
  <c r="D71" i="28" l="1"/>
  <c r="C71" i="28"/>
  <c r="D49" i="15"/>
  <c r="D42" i="22" s="1"/>
  <c r="BD50" i="15"/>
  <c r="AQ50" i="15"/>
  <c r="BF50" i="15"/>
  <c r="AM50" i="15"/>
  <c r="AO50" i="15"/>
  <c r="V50" i="15"/>
  <c r="AB50" i="15"/>
  <c r="BB50" i="15"/>
  <c r="X50" i="15"/>
  <c r="AK50" i="15"/>
  <c r="AZ50" i="15"/>
  <c r="Z50" i="15"/>
  <c r="R50" i="15"/>
  <c r="T50" i="15"/>
  <c r="F49" i="15"/>
  <c r="F42" i="22" s="1"/>
  <c r="G49" i="15"/>
  <c r="G42" i="22" s="1"/>
  <c r="E49" i="15"/>
  <c r="E42" i="22" s="1"/>
  <c r="AN50" i="15"/>
  <c r="BC50" i="15"/>
  <c r="AL50" i="15"/>
  <c r="BE50" i="15"/>
  <c r="BA50" i="15"/>
  <c r="U50" i="15"/>
  <c r="AA50" i="15"/>
  <c r="AP50" i="15"/>
  <c r="W50" i="15"/>
  <c r="AY50" i="15"/>
  <c r="AJ50" i="15"/>
  <c r="Y50" i="15"/>
  <c r="Q50" i="15"/>
  <c r="S50" i="15"/>
  <c r="L50" i="8"/>
  <c r="N50" i="8"/>
  <c r="P50" i="8"/>
  <c r="M50" i="8"/>
  <c r="O50" i="8"/>
  <c r="J50" i="8"/>
  <c r="H50" i="8"/>
  <c r="F50" i="8"/>
  <c r="D50" i="8"/>
  <c r="B50" i="8"/>
  <c r="A51" i="8"/>
  <c r="K50" i="8"/>
  <c r="I50" i="8"/>
  <c r="G50" i="8"/>
  <c r="E50" i="8"/>
  <c r="C50" i="8"/>
  <c r="A52" i="1"/>
  <c r="N51" i="1"/>
  <c r="P51" i="1"/>
  <c r="M51" i="1"/>
  <c r="O51" i="1"/>
  <c r="L51" i="1"/>
  <c r="G51" i="1"/>
  <c r="I51" i="1"/>
  <c r="K51" i="1"/>
  <c r="D51" i="1"/>
  <c r="F51" i="1"/>
  <c r="H51" i="1"/>
  <c r="J51" i="1"/>
  <c r="C51" i="1"/>
  <c r="E51" i="1"/>
  <c r="B51" i="1"/>
  <c r="D72" i="28" l="1"/>
  <c r="C72" i="28"/>
  <c r="E50" i="15"/>
  <c r="E43" i="22" s="1"/>
  <c r="G50" i="15"/>
  <c r="G43" i="22" s="1"/>
  <c r="BC51" i="15"/>
  <c r="AN51" i="15"/>
  <c r="BE51" i="15"/>
  <c r="AL51" i="15"/>
  <c r="AP51" i="15"/>
  <c r="U51" i="15"/>
  <c r="BA51" i="15"/>
  <c r="AA51" i="15"/>
  <c r="W51" i="15"/>
  <c r="AY51" i="15"/>
  <c r="AJ51" i="15"/>
  <c r="Q51" i="15"/>
  <c r="Y51" i="15"/>
  <c r="S51" i="15"/>
  <c r="BD51" i="15"/>
  <c r="AO51" i="15"/>
  <c r="AM51" i="15"/>
  <c r="BB51" i="15"/>
  <c r="V51" i="15"/>
  <c r="AQ51" i="15"/>
  <c r="BF51" i="15"/>
  <c r="AB51" i="15"/>
  <c r="X51" i="15"/>
  <c r="AK51" i="15"/>
  <c r="E51" i="15" s="1"/>
  <c r="E44" i="22" s="1"/>
  <c r="AZ51" i="15"/>
  <c r="R51" i="15"/>
  <c r="Z51" i="15"/>
  <c r="T51" i="15"/>
  <c r="F50" i="15"/>
  <c r="F43" i="22" s="1"/>
  <c r="D50" i="15"/>
  <c r="D43" i="22" s="1"/>
  <c r="L51" i="8"/>
  <c r="N51" i="8"/>
  <c r="P51" i="8"/>
  <c r="M51" i="8"/>
  <c r="O51" i="8"/>
  <c r="J51" i="8"/>
  <c r="H51" i="8"/>
  <c r="F51" i="8"/>
  <c r="D51" i="8"/>
  <c r="B51" i="8"/>
  <c r="A52" i="8"/>
  <c r="K51" i="8"/>
  <c r="I51" i="8"/>
  <c r="G51" i="8"/>
  <c r="E51" i="8"/>
  <c r="C51" i="8"/>
  <c r="A53" i="1"/>
  <c r="O52" i="1"/>
  <c r="L52" i="1"/>
  <c r="M52" i="1"/>
  <c r="N52" i="1"/>
  <c r="P52" i="1"/>
  <c r="G52" i="1"/>
  <c r="I52" i="1"/>
  <c r="K52" i="1"/>
  <c r="H52" i="1"/>
  <c r="J52" i="1"/>
  <c r="D52" i="1"/>
  <c r="F52" i="1"/>
  <c r="C52" i="1"/>
  <c r="E52" i="1"/>
  <c r="B52" i="1"/>
  <c r="D73" i="28" l="1"/>
  <c r="C73" i="28"/>
  <c r="F51" i="15"/>
  <c r="F44" i="22" s="1"/>
  <c r="AP52" i="15"/>
  <c r="BC52" i="15"/>
  <c r="AL52" i="15"/>
  <c r="BA52" i="15"/>
  <c r="AN52" i="15"/>
  <c r="U52" i="15"/>
  <c r="AA52" i="15"/>
  <c r="BE52" i="15"/>
  <c r="W52" i="15"/>
  <c r="AJ52" i="15"/>
  <c r="AY52" i="15"/>
  <c r="Q52" i="15"/>
  <c r="Y52" i="15"/>
  <c r="S52" i="15"/>
  <c r="G51" i="15"/>
  <c r="G44" i="22" s="1"/>
  <c r="AM52" i="15"/>
  <c r="AQ52" i="15"/>
  <c r="BB52" i="15"/>
  <c r="BD52" i="15"/>
  <c r="AO52" i="15"/>
  <c r="BF52" i="15"/>
  <c r="AB52" i="15"/>
  <c r="V52" i="15"/>
  <c r="X52" i="15"/>
  <c r="AZ52" i="15"/>
  <c r="AK52" i="15"/>
  <c r="Z52" i="15"/>
  <c r="R52" i="15"/>
  <c r="T52" i="15"/>
  <c r="D51" i="15"/>
  <c r="D44" i="22" s="1"/>
  <c r="L52" i="8"/>
  <c r="N52" i="8"/>
  <c r="P52" i="8"/>
  <c r="M52" i="8"/>
  <c r="O52" i="8"/>
  <c r="J52" i="8"/>
  <c r="H52" i="8"/>
  <c r="F52" i="8"/>
  <c r="D52" i="8"/>
  <c r="B52" i="8"/>
  <c r="A53" i="8"/>
  <c r="K52" i="8"/>
  <c r="I52" i="8"/>
  <c r="G52" i="8"/>
  <c r="E52" i="8"/>
  <c r="C52" i="8"/>
  <c r="A54" i="1"/>
  <c r="N53" i="1"/>
  <c r="P53" i="1"/>
  <c r="M53" i="1"/>
  <c r="O53" i="1"/>
  <c r="L53" i="1"/>
  <c r="G53" i="1"/>
  <c r="I53" i="1"/>
  <c r="K53" i="1"/>
  <c r="H53" i="1"/>
  <c r="J53" i="1"/>
  <c r="D53" i="1"/>
  <c r="F53" i="1"/>
  <c r="C53" i="1"/>
  <c r="E53" i="1"/>
  <c r="B53" i="1"/>
  <c r="D74" i="28" l="1"/>
  <c r="C74" i="28"/>
  <c r="D52" i="15"/>
  <c r="D45" i="22" s="1"/>
  <c r="E52" i="15"/>
  <c r="E45" i="22" s="1"/>
  <c r="AL53" i="15"/>
  <c r="BA53" i="15"/>
  <c r="BC53" i="15"/>
  <c r="AN53" i="15"/>
  <c r="BE53" i="15"/>
  <c r="U53" i="15"/>
  <c r="AP53" i="15"/>
  <c r="AA53" i="15"/>
  <c r="W53" i="15"/>
  <c r="AY53" i="15"/>
  <c r="AJ53" i="15"/>
  <c r="Q53" i="15"/>
  <c r="Y53" i="15"/>
  <c r="S53" i="15"/>
  <c r="AQ53" i="15"/>
  <c r="AO53" i="15"/>
  <c r="BB53" i="15"/>
  <c r="AB53" i="15"/>
  <c r="AM53" i="15"/>
  <c r="BD53" i="15"/>
  <c r="BF53" i="15"/>
  <c r="V53" i="15"/>
  <c r="X53" i="15"/>
  <c r="AZ53" i="15"/>
  <c r="AK53" i="15"/>
  <c r="Z53" i="15"/>
  <c r="R53" i="15"/>
  <c r="T53" i="15"/>
  <c r="F52" i="15"/>
  <c r="F45" i="22" s="1"/>
  <c r="G52" i="15"/>
  <c r="G45" i="22" s="1"/>
  <c r="L53" i="8"/>
  <c r="N53" i="8"/>
  <c r="P53" i="8"/>
  <c r="M53" i="8"/>
  <c r="O53" i="8"/>
  <c r="J53" i="8"/>
  <c r="H53" i="8"/>
  <c r="F53" i="8"/>
  <c r="D53" i="8"/>
  <c r="B53" i="8"/>
  <c r="A54" i="8"/>
  <c r="K53" i="8"/>
  <c r="I53" i="8"/>
  <c r="G53" i="8"/>
  <c r="E53" i="8"/>
  <c r="C53" i="8"/>
  <c r="A55" i="1"/>
  <c r="O54" i="1"/>
  <c r="L54" i="1"/>
  <c r="M54" i="1"/>
  <c r="N54" i="1"/>
  <c r="P54" i="1"/>
  <c r="G54" i="1"/>
  <c r="I54" i="1"/>
  <c r="K54" i="1"/>
  <c r="H54" i="1"/>
  <c r="J54" i="1"/>
  <c r="D54" i="1"/>
  <c r="F54" i="1"/>
  <c r="C54" i="1"/>
  <c r="E54" i="1"/>
  <c r="B54" i="1"/>
  <c r="D75" i="28" l="1"/>
  <c r="C75" i="28"/>
  <c r="E53" i="15"/>
  <c r="E46" i="22" s="1"/>
  <c r="AL54" i="15"/>
  <c r="BC54" i="15"/>
  <c r="AP54" i="15"/>
  <c r="BA54" i="15"/>
  <c r="AN54" i="15"/>
  <c r="BE54" i="15"/>
  <c r="U54" i="15"/>
  <c r="AA54" i="15"/>
  <c r="W54" i="15"/>
  <c r="AJ54" i="15"/>
  <c r="AY54" i="15"/>
  <c r="Y54" i="15"/>
  <c r="Q54" i="15"/>
  <c r="S54" i="15"/>
  <c r="AQ54" i="15"/>
  <c r="BF54" i="15"/>
  <c r="AM54" i="15"/>
  <c r="AB54" i="15"/>
  <c r="AO54" i="15"/>
  <c r="BD54" i="15"/>
  <c r="V54" i="15"/>
  <c r="BB54" i="15"/>
  <c r="X54" i="15"/>
  <c r="AK54" i="15"/>
  <c r="AZ54" i="15"/>
  <c r="R54" i="15"/>
  <c r="Z54" i="15"/>
  <c r="T54" i="15"/>
  <c r="F53" i="15"/>
  <c r="F46" i="22" s="1"/>
  <c r="D53" i="15"/>
  <c r="D46" i="22" s="1"/>
  <c r="G53" i="15"/>
  <c r="G46" i="22" s="1"/>
  <c r="L54" i="8"/>
  <c r="N54" i="8"/>
  <c r="P54" i="8"/>
  <c r="M54" i="8"/>
  <c r="O54" i="8"/>
  <c r="J54" i="8"/>
  <c r="H54" i="8"/>
  <c r="F54" i="8"/>
  <c r="D54" i="8"/>
  <c r="B54" i="8"/>
  <c r="A55" i="8"/>
  <c r="K54" i="8"/>
  <c r="I54" i="8"/>
  <c r="G54" i="8"/>
  <c r="E54" i="8"/>
  <c r="C54" i="8"/>
  <c r="A56" i="1"/>
  <c r="N55" i="1"/>
  <c r="P55" i="1"/>
  <c r="M55" i="1"/>
  <c r="O55" i="1"/>
  <c r="L55" i="1"/>
  <c r="G55" i="1"/>
  <c r="I55" i="1"/>
  <c r="K55" i="1"/>
  <c r="H55" i="1"/>
  <c r="J55" i="1"/>
  <c r="D55" i="1"/>
  <c r="F55" i="1"/>
  <c r="C55" i="1"/>
  <c r="E55" i="1"/>
  <c r="B55" i="1"/>
  <c r="D76" i="28" l="1"/>
  <c r="C76" i="28"/>
  <c r="G54" i="15"/>
  <c r="G47" i="22" s="1"/>
  <c r="BC55" i="15"/>
  <c r="AN55" i="15"/>
  <c r="AP55" i="15"/>
  <c r="AL55" i="15"/>
  <c r="BE55" i="15"/>
  <c r="U55" i="15"/>
  <c r="BA55" i="15"/>
  <c r="AA55" i="15"/>
  <c r="W55" i="15"/>
  <c r="AY55" i="15"/>
  <c r="AJ55" i="15"/>
  <c r="Y55" i="15"/>
  <c r="Q55" i="15"/>
  <c r="S55" i="15"/>
  <c r="AM55" i="15"/>
  <c r="AQ55" i="15"/>
  <c r="BB55" i="15"/>
  <c r="BD55" i="15"/>
  <c r="BF55" i="15"/>
  <c r="AO55" i="15"/>
  <c r="V55" i="15"/>
  <c r="AB55" i="15"/>
  <c r="X55" i="15"/>
  <c r="AZ55" i="15"/>
  <c r="AK55" i="15"/>
  <c r="Z55" i="15"/>
  <c r="R55" i="15"/>
  <c r="T55" i="15"/>
  <c r="D54" i="15"/>
  <c r="D47" i="22" s="1"/>
  <c r="F54" i="15"/>
  <c r="F47" i="22" s="1"/>
  <c r="E54" i="15"/>
  <c r="E47" i="22" s="1"/>
  <c r="L55" i="8"/>
  <c r="N55" i="8"/>
  <c r="P55" i="8"/>
  <c r="M55" i="8"/>
  <c r="O55" i="8"/>
  <c r="J55" i="8"/>
  <c r="H55" i="8"/>
  <c r="F55" i="8"/>
  <c r="D55" i="8"/>
  <c r="B55" i="8"/>
  <c r="A56" i="8"/>
  <c r="K55" i="8"/>
  <c r="I55" i="8"/>
  <c r="G55" i="8"/>
  <c r="E55" i="8"/>
  <c r="C55" i="8"/>
  <c r="A57" i="1"/>
  <c r="O56" i="1"/>
  <c r="L56" i="1"/>
  <c r="M56" i="1"/>
  <c r="N56" i="1"/>
  <c r="P56" i="1"/>
  <c r="G56" i="1"/>
  <c r="I56" i="1"/>
  <c r="K56" i="1"/>
  <c r="H56" i="1"/>
  <c r="J56" i="1"/>
  <c r="D56" i="1"/>
  <c r="F56" i="1"/>
  <c r="C56" i="1"/>
  <c r="E56" i="1"/>
  <c r="B56" i="1"/>
  <c r="C77" i="28" l="1"/>
  <c r="D77" i="28"/>
  <c r="E55" i="15"/>
  <c r="E48" i="22" s="1"/>
  <c r="BC56" i="15"/>
  <c r="AP56" i="15"/>
  <c r="AL56" i="15"/>
  <c r="BE56" i="15"/>
  <c r="AN56" i="15"/>
  <c r="U56" i="15"/>
  <c r="BA56" i="15"/>
  <c r="AA56" i="15"/>
  <c r="W56" i="15"/>
  <c r="AJ56" i="15"/>
  <c r="AY56" i="15"/>
  <c r="Y56" i="15"/>
  <c r="Q56" i="15"/>
  <c r="S56" i="15"/>
  <c r="BD56" i="15"/>
  <c r="BB56" i="15"/>
  <c r="AM56" i="15"/>
  <c r="AO56" i="15"/>
  <c r="AQ56" i="15"/>
  <c r="BF56" i="15"/>
  <c r="AB56" i="15"/>
  <c r="V56" i="15"/>
  <c r="X56" i="15"/>
  <c r="AZ56" i="15"/>
  <c r="AK56" i="15"/>
  <c r="E56" i="15" s="1"/>
  <c r="E49" i="22" s="1"/>
  <c r="R56" i="15"/>
  <c r="Z56" i="15"/>
  <c r="T56" i="15"/>
  <c r="F55" i="15"/>
  <c r="F48" i="22" s="1"/>
  <c r="D55" i="15"/>
  <c r="D48" i="22" s="1"/>
  <c r="G55" i="15"/>
  <c r="G48" i="22" s="1"/>
  <c r="L56" i="8"/>
  <c r="N56" i="8"/>
  <c r="P56" i="8"/>
  <c r="M56" i="8"/>
  <c r="O56" i="8"/>
  <c r="J56" i="8"/>
  <c r="H56" i="8"/>
  <c r="F56" i="8"/>
  <c r="D56" i="8"/>
  <c r="B56" i="8"/>
  <c r="A57" i="8"/>
  <c r="K56" i="8"/>
  <c r="I56" i="8"/>
  <c r="G56" i="8"/>
  <c r="E56" i="8"/>
  <c r="C56" i="8"/>
  <c r="A58" i="1"/>
  <c r="N57" i="1"/>
  <c r="P57" i="1"/>
  <c r="M57" i="1"/>
  <c r="O57" i="1"/>
  <c r="L57" i="1"/>
  <c r="G57" i="1"/>
  <c r="I57" i="1"/>
  <c r="K57" i="1"/>
  <c r="H57" i="1"/>
  <c r="J57" i="1"/>
  <c r="D57" i="1"/>
  <c r="F57" i="1"/>
  <c r="C57" i="1"/>
  <c r="E57" i="1"/>
  <c r="B57" i="1"/>
  <c r="D78" i="28" l="1"/>
  <c r="C78" i="28"/>
  <c r="AL57" i="15"/>
  <c r="AP57" i="15"/>
  <c r="BA57" i="15"/>
  <c r="BC57" i="15"/>
  <c r="AN57" i="15"/>
  <c r="BE57" i="15"/>
  <c r="AA57" i="15"/>
  <c r="U57" i="15"/>
  <c r="W57" i="15"/>
  <c r="AJ57" i="15"/>
  <c r="AY57" i="15"/>
  <c r="Y57" i="15"/>
  <c r="Q57" i="15"/>
  <c r="S57" i="15"/>
  <c r="BD57" i="15"/>
  <c r="AQ57" i="15"/>
  <c r="AM57" i="15"/>
  <c r="BF57" i="15"/>
  <c r="AB57" i="15"/>
  <c r="AO57" i="15"/>
  <c r="V57" i="15"/>
  <c r="BB57" i="15"/>
  <c r="X57" i="15"/>
  <c r="AK57" i="15"/>
  <c r="AZ57" i="15"/>
  <c r="Z57" i="15"/>
  <c r="R57" i="15"/>
  <c r="T57" i="15"/>
  <c r="D56" i="15"/>
  <c r="D49" i="22" s="1"/>
  <c r="F56" i="15"/>
  <c r="F49" i="22" s="1"/>
  <c r="G56" i="15"/>
  <c r="G49" i="22" s="1"/>
  <c r="L57" i="8"/>
  <c r="N57" i="8"/>
  <c r="P57" i="8"/>
  <c r="M57" i="8"/>
  <c r="O57" i="8"/>
  <c r="J57" i="8"/>
  <c r="H57" i="8"/>
  <c r="F57" i="8"/>
  <c r="D57" i="8"/>
  <c r="B57" i="8"/>
  <c r="A58" i="8"/>
  <c r="K57" i="8"/>
  <c r="I57" i="8"/>
  <c r="G57" i="8"/>
  <c r="E57" i="8"/>
  <c r="C57" i="8"/>
  <c r="A59" i="1"/>
  <c r="O58" i="1"/>
  <c r="L58" i="1"/>
  <c r="M58" i="1"/>
  <c r="N58" i="1"/>
  <c r="P58" i="1"/>
  <c r="G58" i="1"/>
  <c r="I58" i="1"/>
  <c r="K58" i="1"/>
  <c r="H58" i="1"/>
  <c r="J58" i="1"/>
  <c r="D58" i="1"/>
  <c r="F58" i="1"/>
  <c r="C58" i="1"/>
  <c r="E58" i="1"/>
  <c r="B58" i="1"/>
  <c r="D79" i="28" l="1"/>
  <c r="C79" i="28"/>
  <c r="G57" i="15"/>
  <c r="G50" i="22" s="1"/>
  <c r="AL58" i="15"/>
  <c r="BC58" i="15"/>
  <c r="AP58" i="15"/>
  <c r="BA58" i="15"/>
  <c r="BE58" i="15"/>
  <c r="AA58" i="15"/>
  <c r="U58" i="15"/>
  <c r="AN58" i="15"/>
  <c r="W58" i="15"/>
  <c r="AJ58" i="15"/>
  <c r="AY58" i="15"/>
  <c r="Y58" i="15"/>
  <c r="Q58" i="15"/>
  <c r="S58" i="15"/>
  <c r="F57" i="15"/>
  <c r="F50" i="22" s="1"/>
  <c r="BD58" i="15"/>
  <c r="AQ58" i="15"/>
  <c r="AO58" i="15"/>
  <c r="AM58" i="15"/>
  <c r="BF58" i="15"/>
  <c r="BB58" i="15"/>
  <c r="V58" i="15"/>
  <c r="AB58" i="15"/>
  <c r="X58" i="15"/>
  <c r="AK58" i="15"/>
  <c r="AZ58" i="15"/>
  <c r="Z58" i="15"/>
  <c r="R58" i="15"/>
  <c r="T58" i="15"/>
  <c r="D57" i="15"/>
  <c r="D50" i="22" s="1"/>
  <c r="E57" i="15"/>
  <c r="E50" i="22" s="1"/>
  <c r="L58" i="8"/>
  <c r="N58" i="8"/>
  <c r="P58" i="8"/>
  <c r="M58" i="8"/>
  <c r="O58" i="8"/>
  <c r="J58" i="8"/>
  <c r="H58" i="8"/>
  <c r="F58" i="8"/>
  <c r="D58" i="8"/>
  <c r="B58" i="8"/>
  <c r="A59" i="8"/>
  <c r="K58" i="8"/>
  <c r="I58" i="8"/>
  <c r="G58" i="8"/>
  <c r="E58" i="8"/>
  <c r="C58" i="8"/>
  <c r="A60" i="1"/>
  <c r="N59" i="1"/>
  <c r="P59" i="1"/>
  <c r="M59" i="1"/>
  <c r="O59" i="1"/>
  <c r="L59" i="1"/>
  <c r="G59" i="1"/>
  <c r="I59" i="1"/>
  <c r="K59" i="1"/>
  <c r="H59" i="1"/>
  <c r="J59" i="1"/>
  <c r="D59" i="1"/>
  <c r="F59" i="1"/>
  <c r="C59" i="1"/>
  <c r="E59" i="1"/>
  <c r="B59" i="1"/>
  <c r="D80" i="28" l="1"/>
  <c r="C80" i="28"/>
  <c r="E58" i="15"/>
  <c r="E51" i="22" s="1"/>
  <c r="BD59" i="15"/>
  <c r="AM59" i="15"/>
  <c r="AO59" i="15"/>
  <c r="BF59" i="15"/>
  <c r="AQ59" i="15"/>
  <c r="BB59" i="15"/>
  <c r="V59" i="15"/>
  <c r="AB59" i="15"/>
  <c r="X59" i="15"/>
  <c r="AK59" i="15"/>
  <c r="AZ59" i="15"/>
  <c r="Z59" i="15"/>
  <c r="R59" i="15"/>
  <c r="T59" i="15"/>
  <c r="D58" i="15"/>
  <c r="D51" i="22" s="1"/>
  <c r="F58" i="15"/>
  <c r="F51" i="22" s="1"/>
  <c r="AP59" i="15"/>
  <c r="BE59" i="15"/>
  <c r="BC59" i="15"/>
  <c r="AL59" i="15"/>
  <c r="BA59" i="15"/>
  <c r="U59" i="15"/>
  <c r="AN59" i="15"/>
  <c r="AA59" i="15"/>
  <c r="W59" i="15"/>
  <c r="AY59" i="15"/>
  <c r="AJ59" i="15"/>
  <c r="Y59" i="15"/>
  <c r="Q59" i="15"/>
  <c r="S59" i="15"/>
  <c r="G58" i="15"/>
  <c r="G51" i="22" s="1"/>
  <c r="L59" i="8"/>
  <c r="N59" i="8"/>
  <c r="P59" i="8"/>
  <c r="M59" i="8"/>
  <c r="O59" i="8"/>
  <c r="J59" i="8"/>
  <c r="H59" i="8"/>
  <c r="F59" i="8"/>
  <c r="D59" i="8"/>
  <c r="B59" i="8"/>
  <c r="A60" i="8"/>
  <c r="K59" i="8"/>
  <c r="I59" i="8"/>
  <c r="G59" i="8"/>
  <c r="E59" i="8"/>
  <c r="C59" i="8"/>
  <c r="A61" i="1"/>
  <c r="O60" i="1"/>
  <c r="L60" i="1"/>
  <c r="M60" i="1"/>
  <c r="N60" i="1"/>
  <c r="P60" i="1"/>
  <c r="G60" i="1"/>
  <c r="I60" i="1"/>
  <c r="K60" i="1"/>
  <c r="H60" i="1"/>
  <c r="J60" i="1"/>
  <c r="D60" i="1"/>
  <c r="F60" i="1"/>
  <c r="C60" i="1"/>
  <c r="E60" i="1"/>
  <c r="B60" i="1"/>
  <c r="D81" i="28" l="1"/>
  <c r="C81" i="28"/>
  <c r="BD60" i="15"/>
  <c r="AM60" i="15"/>
  <c r="AQ60" i="15"/>
  <c r="BB60" i="15"/>
  <c r="BF60" i="15"/>
  <c r="AB60" i="15"/>
  <c r="V60" i="15"/>
  <c r="AO60" i="15"/>
  <c r="X60" i="15"/>
  <c r="AK60" i="15"/>
  <c r="AZ60" i="15"/>
  <c r="Z60" i="15"/>
  <c r="R60" i="15"/>
  <c r="T60" i="15"/>
  <c r="D59" i="15"/>
  <c r="D52" i="22" s="1"/>
  <c r="G59" i="15"/>
  <c r="G52" i="22" s="1"/>
  <c r="AP60" i="15"/>
  <c r="AN60" i="15"/>
  <c r="BA60" i="15"/>
  <c r="AA60" i="15"/>
  <c r="U60" i="15"/>
  <c r="BC60" i="15"/>
  <c r="AL60" i="15"/>
  <c r="BE60" i="15"/>
  <c r="W60" i="15"/>
  <c r="AJ60" i="15"/>
  <c r="AY60" i="15"/>
  <c r="Q60" i="15"/>
  <c r="Y60" i="15"/>
  <c r="S60" i="15"/>
  <c r="F59" i="15"/>
  <c r="F52" i="22" s="1"/>
  <c r="E59" i="15"/>
  <c r="E52" i="22" s="1"/>
  <c r="L60" i="8"/>
  <c r="N60" i="8"/>
  <c r="P60" i="8"/>
  <c r="M60" i="8"/>
  <c r="O60" i="8"/>
  <c r="J60" i="8"/>
  <c r="H60" i="8"/>
  <c r="F60" i="8"/>
  <c r="D60" i="8"/>
  <c r="B60" i="8"/>
  <c r="A61" i="8"/>
  <c r="K60" i="8"/>
  <c r="I60" i="8"/>
  <c r="G60" i="8"/>
  <c r="E60" i="8"/>
  <c r="C60" i="8"/>
  <c r="A62" i="1"/>
  <c r="N61" i="1"/>
  <c r="P61" i="1"/>
  <c r="M61" i="1"/>
  <c r="O61" i="1"/>
  <c r="L61" i="1"/>
  <c r="G61" i="1"/>
  <c r="I61" i="1"/>
  <c r="K61" i="1"/>
  <c r="H61" i="1"/>
  <c r="J61" i="1"/>
  <c r="D61" i="1"/>
  <c r="F61" i="1"/>
  <c r="C61" i="1"/>
  <c r="E61" i="1"/>
  <c r="B61" i="1"/>
  <c r="D82" i="28" l="1"/>
  <c r="D7" i="30" s="1"/>
  <c r="C82" i="28"/>
  <c r="D6" i="30" s="1"/>
  <c r="E60" i="15"/>
  <c r="E53" i="22" s="1"/>
  <c r="AQ61" i="15"/>
  <c r="BD61" i="15"/>
  <c r="BF61" i="15"/>
  <c r="AO61" i="15"/>
  <c r="BB61" i="15"/>
  <c r="AB61" i="15"/>
  <c r="AM61" i="15"/>
  <c r="V61" i="15"/>
  <c r="X61" i="15"/>
  <c r="AZ61" i="15"/>
  <c r="AK61" i="15"/>
  <c r="R61" i="15"/>
  <c r="Z61" i="15"/>
  <c r="T61" i="15"/>
  <c r="D60" i="15"/>
  <c r="D53" i="22" s="1"/>
  <c r="F60" i="15"/>
  <c r="F53" i="22" s="1"/>
  <c r="G60" i="15"/>
  <c r="G53" i="22" s="1"/>
  <c r="AL61" i="15"/>
  <c r="BA61" i="15"/>
  <c r="BC61" i="15"/>
  <c r="AN61" i="15"/>
  <c r="AP61" i="15"/>
  <c r="U61" i="15"/>
  <c r="BE61" i="15"/>
  <c r="AA61" i="15"/>
  <c r="W61" i="15"/>
  <c r="AY61" i="15"/>
  <c r="AJ61" i="15"/>
  <c r="Q61" i="15"/>
  <c r="Y61" i="15"/>
  <c r="S61" i="15"/>
  <c r="L61" i="8"/>
  <c r="N61" i="8"/>
  <c r="P61" i="8"/>
  <c r="M61" i="8"/>
  <c r="O61" i="8"/>
  <c r="J61" i="8"/>
  <c r="H61" i="8"/>
  <c r="F61" i="8"/>
  <c r="D61" i="8"/>
  <c r="B61" i="8"/>
  <c r="A62" i="8"/>
  <c r="K61" i="8"/>
  <c r="I61" i="8"/>
  <c r="G61" i="8"/>
  <c r="E61" i="8"/>
  <c r="C61" i="8"/>
  <c r="A63" i="1"/>
  <c r="O62" i="1"/>
  <c r="L62" i="1"/>
  <c r="M62" i="1"/>
  <c r="N62" i="1"/>
  <c r="P62" i="1"/>
  <c r="G62" i="1"/>
  <c r="I62" i="1"/>
  <c r="K62" i="1"/>
  <c r="H62" i="1"/>
  <c r="J62" i="1"/>
  <c r="D62" i="1"/>
  <c r="F62" i="1"/>
  <c r="C62" i="1"/>
  <c r="E62" i="1"/>
  <c r="B62" i="1"/>
  <c r="C83" i="28" l="1"/>
  <c r="D83" i="28"/>
  <c r="F61" i="15"/>
  <c r="F54" i="22" s="1"/>
  <c r="AQ62" i="15"/>
  <c r="BD62" i="15"/>
  <c r="BF62" i="15"/>
  <c r="AO62" i="15"/>
  <c r="AM62" i="15"/>
  <c r="V62" i="15"/>
  <c r="BB62" i="15"/>
  <c r="AB62" i="15"/>
  <c r="X62" i="15"/>
  <c r="AZ62" i="15"/>
  <c r="AK62" i="15"/>
  <c r="R62" i="15"/>
  <c r="Z62" i="15"/>
  <c r="T62" i="15"/>
  <c r="E61" i="15"/>
  <c r="E54" i="22" s="1"/>
  <c r="AL62" i="15"/>
  <c r="BC62" i="15"/>
  <c r="BE62" i="15"/>
  <c r="AP62" i="15"/>
  <c r="AN62" i="15"/>
  <c r="BA62" i="15"/>
  <c r="AA62" i="15"/>
  <c r="U62" i="15"/>
  <c r="W62" i="15"/>
  <c r="AJ62" i="15"/>
  <c r="AY62" i="15"/>
  <c r="Q62" i="15"/>
  <c r="Y62" i="15"/>
  <c r="S62" i="15"/>
  <c r="G61" i="15"/>
  <c r="G54" i="22" s="1"/>
  <c r="D61" i="15"/>
  <c r="D54" i="22" s="1"/>
  <c r="L62" i="8"/>
  <c r="O62" i="8"/>
  <c r="M62" i="8"/>
  <c r="P62" i="8"/>
  <c r="N62" i="8"/>
  <c r="J62" i="8"/>
  <c r="H62" i="8"/>
  <c r="F62" i="8"/>
  <c r="D62" i="8"/>
  <c r="B62" i="8"/>
  <c r="A63" i="8"/>
  <c r="K62" i="8"/>
  <c r="I62" i="8"/>
  <c r="G62" i="8"/>
  <c r="E62" i="8"/>
  <c r="C62" i="8"/>
  <c r="A64" i="1"/>
  <c r="N63" i="1"/>
  <c r="P63" i="1"/>
  <c r="M63" i="1"/>
  <c r="O63" i="1"/>
  <c r="L63" i="1"/>
  <c r="G63" i="1"/>
  <c r="I63" i="1"/>
  <c r="K63" i="1"/>
  <c r="H63" i="1"/>
  <c r="J63" i="1"/>
  <c r="D63" i="1"/>
  <c r="F63" i="1"/>
  <c r="C63" i="1"/>
  <c r="E63" i="1"/>
  <c r="B63" i="1"/>
  <c r="D84" i="28" l="1"/>
  <c r="C84" i="28"/>
  <c r="D62" i="15"/>
  <c r="D55" i="22" s="1"/>
  <c r="G62" i="15"/>
  <c r="G55" i="22" s="1"/>
  <c r="Q22" i="12" s="1"/>
  <c r="AM63" i="15"/>
  <c r="BD63" i="15"/>
  <c r="AO63" i="15"/>
  <c r="AQ63" i="15"/>
  <c r="BB63" i="15"/>
  <c r="BF63" i="15"/>
  <c r="AB63" i="15"/>
  <c r="V63" i="15"/>
  <c r="X63" i="15"/>
  <c r="AK63" i="15"/>
  <c r="AZ63" i="15"/>
  <c r="Z63" i="15"/>
  <c r="R63" i="15"/>
  <c r="T63" i="15"/>
  <c r="E62" i="15"/>
  <c r="AN63" i="15"/>
  <c r="AL63" i="15"/>
  <c r="BE63" i="15"/>
  <c r="BC63" i="15"/>
  <c r="AP63" i="15"/>
  <c r="AA63" i="15"/>
  <c r="BA63" i="15"/>
  <c r="U63" i="15"/>
  <c r="W63" i="15"/>
  <c r="AY63" i="15"/>
  <c r="AJ63" i="15"/>
  <c r="Q63" i="15"/>
  <c r="Y63" i="15"/>
  <c r="S63" i="15"/>
  <c r="F62" i="15"/>
  <c r="N63" i="8"/>
  <c r="P63" i="8"/>
  <c r="L63" i="8"/>
  <c r="M63" i="8"/>
  <c r="O63" i="8"/>
  <c r="J63" i="8"/>
  <c r="H63" i="8"/>
  <c r="F63" i="8"/>
  <c r="D63" i="8"/>
  <c r="B63" i="8"/>
  <c r="A64" i="8"/>
  <c r="K63" i="8"/>
  <c r="I63" i="8"/>
  <c r="G63" i="8"/>
  <c r="E63" i="8"/>
  <c r="C63" i="8"/>
  <c r="A65" i="1"/>
  <c r="O64" i="1"/>
  <c r="L64" i="1"/>
  <c r="M64" i="1"/>
  <c r="N64" i="1"/>
  <c r="P64" i="1"/>
  <c r="G64" i="1"/>
  <c r="I64" i="1"/>
  <c r="K64" i="1"/>
  <c r="H64" i="1"/>
  <c r="J64" i="1"/>
  <c r="D64" i="1"/>
  <c r="F64" i="1"/>
  <c r="C64" i="1"/>
  <c r="E64" i="1"/>
  <c r="B64" i="1"/>
  <c r="D85" i="28" l="1"/>
  <c r="C85" i="28"/>
  <c r="F226" i="15"/>
  <c r="E235" i="15" s="1"/>
  <c r="F229" i="15"/>
  <c r="E63" i="15"/>
  <c r="E56" i="22" s="1"/>
  <c r="F63" i="15"/>
  <c r="F56" i="22" s="1"/>
  <c r="G63" i="15"/>
  <c r="G56" i="22" s="1"/>
  <c r="F227" i="15"/>
  <c r="E55" i="22"/>
  <c r="Q21" i="12" s="1"/>
  <c r="F228" i="15"/>
  <c r="E236" i="15" s="1"/>
  <c r="F55" i="22"/>
  <c r="BC64" i="15"/>
  <c r="AP64" i="15"/>
  <c r="AL64" i="15"/>
  <c r="BE64" i="15"/>
  <c r="AN64" i="15"/>
  <c r="BA64" i="15"/>
  <c r="AA64" i="15"/>
  <c r="U64" i="15"/>
  <c r="W64" i="15"/>
  <c r="AJ64" i="15"/>
  <c r="AY64" i="15"/>
  <c r="Q64" i="15"/>
  <c r="Y64" i="15"/>
  <c r="S64" i="15"/>
  <c r="BD64" i="15"/>
  <c r="BB64" i="15"/>
  <c r="AO64" i="15"/>
  <c r="AQ64" i="15"/>
  <c r="AB64" i="15"/>
  <c r="V64" i="15"/>
  <c r="BF64" i="15"/>
  <c r="AM64" i="15"/>
  <c r="X64" i="15"/>
  <c r="AK64" i="15"/>
  <c r="AZ64" i="15"/>
  <c r="R64" i="15"/>
  <c r="Z64" i="15"/>
  <c r="T64" i="15"/>
  <c r="D63" i="15"/>
  <c r="D56" i="22" s="1"/>
  <c r="L64" i="8"/>
  <c r="N64" i="8"/>
  <c r="P64" i="8"/>
  <c r="M64" i="8"/>
  <c r="O64" i="8"/>
  <c r="J64" i="8"/>
  <c r="H64" i="8"/>
  <c r="F64" i="8"/>
  <c r="D64" i="8"/>
  <c r="B64" i="8"/>
  <c r="A65" i="8"/>
  <c r="K64" i="8"/>
  <c r="I64" i="8"/>
  <c r="G64" i="8"/>
  <c r="E64" i="8"/>
  <c r="C64" i="8"/>
  <c r="A66" i="1"/>
  <c r="N65" i="1"/>
  <c r="P65" i="1"/>
  <c r="M65" i="1"/>
  <c r="O65" i="1"/>
  <c r="L65" i="1"/>
  <c r="G65" i="1"/>
  <c r="I65" i="1"/>
  <c r="K65" i="1"/>
  <c r="H65" i="1"/>
  <c r="J65" i="1"/>
  <c r="D65" i="1"/>
  <c r="F65" i="1"/>
  <c r="C65" i="1"/>
  <c r="E65" i="1"/>
  <c r="B65" i="1"/>
  <c r="D86" i="28" l="1"/>
  <c r="C86" i="28"/>
  <c r="D64" i="15"/>
  <c r="D57" i="22" s="1"/>
  <c r="BD65" i="15"/>
  <c r="AQ65" i="15"/>
  <c r="AM65" i="15"/>
  <c r="BF65" i="15"/>
  <c r="BB65" i="15"/>
  <c r="AO65" i="15"/>
  <c r="AB65" i="15"/>
  <c r="V65" i="15"/>
  <c r="X65" i="15"/>
  <c r="AK65" i="15"/>
  <c r="AZ65" i="15"/>
  <c r="R65" i="15"/>
  <c r="Z65" i="15"/>
  <c r="T65" i="15"/>
  <c r="E64" i="15"/>
  <c r="E57" i="22" s="1"/>
  <c r="BC65" i="15"/>
  <c r="AP65" i="15"/>
  <c r="BA65" i="15"/>
  <c r="BE65" i="15"/>
  <c r="AN65" i="15"/>
  <c r="AL65" i="15"/>
  <c r="U65" i="15"/>
  <c r="AA65" i="15"/>
  <c r="W65" i="15"/>
  <c r="AJ65" i="15"/>
  <c r="AY65" i="15"/>
  <c r="Y65" i="15"/>
  <c r="Q65" i="15"/>
  <c r="S65" i="15"/>
  <c r="F64" i="15"/>
  <c r="F57" i="22" s="1"/>
  <c r="G64" i="15"/>
  <c r="G57" i="22" s="1"/>
  <c r="N65" i="8"/>
  <c r="P65" i="8"/>
  <c r="L65" i="8"/>
  <c r="M65" i="8"/>
  <c r="O65" i="8"/>
  <c r="J65" i="8"/>
  <c r="H65" i="8"/>
  <c r="F65" i="8"/>
  <c r="D65" i="8"/>
  <c r="B65" i="8"/>
  <c r="A66" i="8"/>
  <c r="K65" i="8"/>
  <c r="I65" i="8"/>
  <c r="G65" i="8"/>
  <c r="E65" i="8"/>
  <c r="C65" i="8"/>
  <c r="A67" i="1"/>
  <c r="O66" i="1"/>
  <c r="L66" i="1"/>
  <c r="M66" i="1"/>
  <c r="N66" i="1"/>
  <c r="P66" i="1"/>
  <c r="G66" i="1"/>
  <c r="I66" i="1"/>
  <c r="K66" i="1"/>
  <c r="H66" i="1"/>
  <c r="J66" i="1"/>
  <c r="D66" i="1"/>
  <c r="F66" i="1"/>
  <c r="C66" i="1"/>
  <c r="E66" i="1"/>
  <c r="B66" i="1"/>
  <c r="D87" i="28" l="1"/>
  <c r="C87" i="28"/>
  <c r="E65" i="15"/>
  <c r="E58" i="22" s="1"/>
  <c r="F65" i="15"/>
  <c r="F58" i="22" s="1"/>
  <c r="D65" i="15"/>
  <c r="D58" i="22" s="1"/>
  <c r="AO66" i="15"/>
  <c r="BD66" i="15"/>
  <c r="AM66" i="15"/>
  <c r="BF66" i="15"/>
  <c r="AQ66" i="15"/>
  <c r="AB66" i="15"/>
  <c r="BB66" i="15"/>
  <c r="V66" i="15"/>
  <c r="X66" i="15"/>
  <c r="AZ66" i="15"/>
  <c r="AK66" i="15"/>
  <c r="Z66" i="15"/>
  <c r="R66" i="15"/>
  <c r="T66" i="15"/>
  <c r="G65" i="15"/>
  <c r="G58" i="22" s="1"/>
  <c r="AL66" i="15"/>
  <c r="AN66" i="15"/>
  <c r="BC66" i="15"/>
  <c r="BE66" i="15"/>
  <c r="AP66" i="15"/>
  <c r="U66" i="15"/>
  <c r="BA66" i="15"/>
  <c r="AA66" i="15"/>
  <c r="W66" i="15"/>
  <c r="AY66" i="15"/>
  <c r="AJ66" i="15"/>
  <c r="Y66" i="15"/>
  <c r="Q66" i="15"/>
  <c r="S66" i="15"/>
  <c r="L66" i="8"/>
  <c r="N66" i="8"/>
  <c r="P66" i="8"/>
  <c r="M66" i="8"/>
  <c r="O66" i="8"/>
  <c r="J66" i="8"/>
  <c r="H66" i="8"/>
  <c r="F66" i="8"/>
  <c r="D66" i="8"/>
  <c r="B66" i="8"/>
  <c r="A67" i="8"/>
  <c r="K66" i="8"/>
  <c r="I66" i="8"/>
  <c r="G66" i="8"/>
  <c r="E66" i="8"/>
  <c r="C66" i="8"/>
  <c r="A68" i="1"/>
  <c r="N67" i="1"/>
  <c r="P67" i="1"/>
  <c r="M67" i="1"/>
  <c r="O67" i="1"/>
  <c r="L67" i="1"/>
  <c r="G67" i="1"/>
  <c r="I67" i="1"/>
  <c r="K67" i="1"/>
  <c r="H67" i="1"/>
  <c r="J67" i="1"/>
  <c r="D67" i="1"/>
  <c r="F67" i="1"/>
  <c r="C67" i="1"/>
  <c r="E67" i="1"/>
  <c r="B67" i="1"/>
  <c r="D88" i="28" l="1"/>
  <c r="C88" i="28"/>
  <c r="G66" i="15"/>
  <c r="G59" i="22" s="1"/>
  <c r="D66" i="15"/>
  <c r="D59" i="22" s="1"/>
  <c r="E66" i="15"/>
  <c r="E59" i="22" s="1"/>
  <c r="BC67" i="15"/>
  <c r="AP67" i="15"/>
  <c r="BE67" i="15"/>
  <c r="AN67" i="15"/>
  <c r="AL67" i="15"/>
  <c r="AA67" i="15"/>
  <c r="BA67" i="15"/>
  <c r="U67" i="15"/>
  <c r="W67" i="15"/>
  <c r="AY67" i="15"/>
  <c r="AJ67" i="15"/>
  <c r="Y67" i="15"/>
  <c r="Q67" i="15"/>
  <c r="S67" i="15"/>
  <c r="BD67" i="15"/>
  <c r="AM67" i="15"/>
  <c r="AO67" i="15"/>
  <c r="BB67" i="15"/>
  <c r="BF67" i="15"/>
  <c r="AB67" i="15"/>
  <c r="V67" i="15"/>
  <c r="AQ67" i="15"/>
  <c r="X67" i="15"/>
  <c r="AZ67" i="15"/>
  <c r="AK67" i="15"/>
  <c r="Z67" i="15"/>
  <c r="R67" i="15"/>
  <c r="T67" i="15"/>
  <c r="F66" i="15"/>
  <c r="F59" i="22" s="1"/>
  <c r="N67" i="8"/>
  <c r="P67" i="8"/>
  <c r="L67" i="8"/>
  <c r="M67" i="8"/>
  <c r="O67" i="8"/>
  <c r="J67" i="8"/>
  <c r="H67" i="8"/>
  <c r="F67" i="8"/>
  <c r="D67" i="8"/>
  <c r="B67" i="8"/>
  <c r="A68" i="8"/>
  <c r="K67" i="8"/>
  <c r="I67" i="8"/>
  <c r="G67" i="8"/>
  <c r="E67" i="8"/>
  <c r="C67" i="8"/>
  <c r="A69" i="1"/>
  <c r="O68" i="1"/>
  <c r="L68" i="1"/>
  <c r="M68" i="1"/>
  <c r="N68" i="1"/>
  <c r="P68" i="1"/>
  <c r="G68" i="1"/>
  <c r="I68" i="1"/>
  <c r="K68" i="1"/>
  <c r="H68" i="1"/>
  <c r="J68" i="1"/>
  <c r="D68" i="1"/>
  <c r="F68" i="1"/>
  <c r="C68" i="1"/>
  <c r="E68" i="1"/>
  <c r="B68" i="1"/>
  <c r="D89" i="28" l="1"/>
  <c r="C89" i="28"/>
  <c r="F67" i="15"/>
  <c r="F60" i="22" s="1"/>
  <c r="AP68" i="15"/>
  <c r="BC68" i="15"/>
  <c r="AL68" i="15"/>
  <c r="BE68" i="15"/>
  <c r="AN68" i="15"/>
  <c r="AA68" i="15"/>
  <c r="U68" i="15"/>
  <c r="BA68" i="15"/>
  <c r="W68" i="15"/>
  <c r="AJ68" i="15"/>
  <c r="AY68" i="15"/>
  <c r="Q68" i="15"/>
  <c r="Y68" i="15"/>
  <c r="S68" i="15"/>
  <c r="D67" i="15"/>
  <c r="D60" i="22" s="1"/>
  <c r="G67" i="15"/>
  <c r="G60" i="22" s="1"/>
  <c r="E67" i="15"/>
  <c r="E60" i="22" s="1"/>
  <c r="AM68" i="15"/>
  <c r="AQ68" i="15"/>
  <c r="BB68" i="15"/>
  <c r="AO68" i="15"/>
  <c r="BF68" i="15"/>
  <c r="BD68" i="15"/>
  <c r="V68" i="15"/>
  <c r="AB68" i="15"/>
  <c r="X68" i="15"/>
  <c r="AK68" i="15"/>
  <c r="AZ68" i="15"/>
  <c r="R68" i="15"/>
  <c r="Z68" i="15"/>
  <c r="T68" i="15"/>
  <c r="L68" i="8"/>
  <c r="N68" i="8"/>
  <c r="P68" i="8"/>
  <c r="M68" i="8"/>
  <c r="O68" i="8"/>
  <c r="J68" i="8"/>
  <c r="H68" i="8"/>
  <c r="F68" i="8"/>
  <c r="D68" i="8"/>
  <c r="B68" i="8"/>
  <c r="A69" i="8"/>
  <c r="K68" i="8"/>
  <c r="I68" i="8"/>
  <c r="G68" i="8"/>
  <c r="E68" i="8"/>
  <c r="C68" i="8"/>
  <c r="A70" i="1"/>
  <c r="N69" i="1"/>
  <c r="P69" i="1"/>
  <c r="M69" i="1"/>
  <c r="O69" i="1"/>
  <c r="L69" i="1"/>
  <c r="G69" i="1"/>
  <c r="I69" i="1"/>
  <c r="K69" i="1"/>
  <c r="H69" i="1"/>
  <c r="J69" i="1"/>
  <c r="D69" i="1"/>
  <c r="F69" i="1"/>
  <c r="C69" i="1"/>
  <c r="E69" i="1"/>
  <c r="B69" i="1"/>
  <c r="D90" i="28" l="1"/>
  <c r="C90" i="28"/>
  <c r="D68" i="15"/>
  <c r="D61" i="22" s="1"/>
  <c r="AL69" i="15"/>
  <c r="BA69" i="15"/>
  <c r="BC69" i="15"/>
  <c r="AN69" i="15"/>
  <c r="BE69" i="15"/>
  <c r="AP69" i="15"/>
  <c r="AA69" i="15"/>
  <c r="U69" i="15"/>
  <c r="W69" i="15"/>
  <c r="AY69" i="15"/>
  <c r="AJ69" i="15"/>
  <c r="Y69" i="15"/>
  <c r="Q69" i="15"/>
  <c r="S69" i="15"/>
  <c r="AQ69" i="15"/>
  <c r="AO69" i="15"/>
  <c r="BB69" i="15"/>
  <c r="AB69" i="15"/>
  <c r="AM69" i="15"/>
  <c r="BD69" i="15"/>
  <c r="V69" i="15"/>
  <c r="BF69" i="15"/>
  <c r="X69" i="15"/>
  <c r="AK69" i="15"/>
  <c r="AZ69" i="15"/>
  <c r="R69" i="15"/>
  <c r="Z69" i="15"/>
  <c r="T69" i="15"/>
  <c r="E68" i="15"/>
  <c r="E61" i="22" s="1"/>
  <c r="F68" i="15"/>
  <c r="F61" i="22" s="1"/>
  <c r="G68" i="15"/>
  <c r="G61" i="22" s="1"/>
  <c r="N69" i="8"/>
  <c r="P69" i="8"/>
  <c r="L69" i="8"/>
  <c r="M69" i="8"/>
  <c r="O69" i="8"/>
  <c r="J69" i="8"/>
  <c r="H69" i="8"/>
  <c r="F69" i="8"/>
  <c r="D69" i="8"/>
  <c r="B69" i="8"/>
  <c r="A70" i="8"/>
  <c r="K69" i="8"/>
  <c r="I69" i="8"/>
  <c r="G69" i="8"/>
  <c r="E69" i="8"/>
  <c r="C69" i="8"/>
  <c r="A71" i="1"/>
  <c r="O70" i="1"/>
  <c r="L70" i="1"/>
  <c r="M70" i="1"/>
  <c r="N70" i="1"/>
  <c r="P70" i="1"/>
  <c r="G70" i="1"/>
  <c r="I70" i="1"/>
  <c r="K70" i="1"/>
  <c r="H70" i="1"/>
  <c r="J70" i="1"/>
  <c r="D70" i="1"/>
  <c r="F70" i="1"/>
  <c r="C70" i="1"/>
  <c r="E70" i="1"/>
  <c r="B70" i="1"/>
  <c r="D91" i="28" l="1"/>
  <c r="C91" i="28"/>
  <c r="F69" i="15"/>
  <c r="F62" i="22" s="1"/>
  <c r="AL70" i="15"/>
  <c r="BC70" i="15"/>
  <c r="AP70" i="15"/>
  <c r="BA70" i="15"/>
  <c r="AN70" i="15"/>
  <c r="AA70" i="15"/>
  <c r="BE70" i="15"/>
  <c r="U70" i="15"/>
  <c r="W70" i="15"/>
  <c r="AJ70" i="15"/>
  <c r="AY70" i="15"/>
  <c r="Y70" i="15"/>
  <c r="Q70" i="15"/>
  <c r="S70" i="15"/>
  <c r="BD70" i="15"/>
  <c r="AQ70" i="15"/>
  <c r="BF70" i="15"/>
  <c r="AM70" i="15"/>
  <c r="BB70" i="15"/>
  <c r="AO70" i="15"/>
  <c r="V70" i="15"/>
  <c r="AB70" i="15"/>
  <c r="X70" i="15"/>
  <c r="AK70" i="15"/>
  <c r="AZ70" i="15"/>
  <c r="Z70" i="15"/>
  <c r="R70" i="15"/>
  <c r="T70" i="15"/>
  <c r="D69" i="15"/>
  <c r="D62" i="22" s="1"/>
  <c r="G69" i="15"/>
  <c r="G62" i="22" s="1"/>
  <c r="E69" i="15"/>
  <c r="E62" i="22" s="1"/>
  <c r="L70" i="8"/>
  <c r="N70" i="8"/>
  <c r="P70" i="8"/>
  <c r="M70" i="8"/>
  <c r="O70" i="8"/>
  <c r="J70" i="8"/>
  <c r="H70" i="8"/>
  <c r="F70" i="8"/>
  <c r="D70" i="8"/>
  <c r="B70" i="8"/>
  <c r="A71" i="8"/>
  <c r="K70" i="8"/>
  <c r="I70" i="8"/>
  <c r="G70" i="8"/>
  <c r="E70" i="8"/>
  <c r="C70" i="8"/>
  <c r="A72" i="1"/>
  <c r="N71" i="1"/>
  <c r="P71" i="1"/>
  <c r="M71" i="1"/>
  <c r="O71" i="1"/>
  <c r="L71" i="1"/>
  <c r="G71" i="1"/>
  <c r="I71" i="1"/>
  <c r="K71" i="1"/>
  <c r="H71" i="1"/>
  <c r="J71" i="1"/>
  <c r="D71" i="1"/>
  <c r="F71" i="1"/>
  <c r="C71" i="1"/>
  <c r="E71" i="1"/>
  <c r="B71" i="1"/>
  <c r="D92" i="28" l="1"/>
  <c r="C92" i="28"/>
  <c r="D70" i="15"/>
  <c r="D63" i="22" s="1"/>
  <c r="BC71" i="15"/>
  <c r="AN71" i="15"/>
  <c r="AP71" i="15"/>
  <c r="AL71" i="15"/>
  <c r="BE71" i="15"/>
  <c r="AA71" i="15"/>
  <c r="U71" i="15"/>
  <c r="BA71" i="15"/>
  <c r="W71" i="15"/>
  <c r="AY71" i="15"/>
  <c r="AJ71" i="15"/>
  <c r="Q71" i="15"/>
  <c r="Y71" i="15"/>
  <c r="S71" i="15"/>
  <c r="AM71" i="15"/>
  <c r="AQ71" i="15"/>
  <c r="BB71" i="15"/>
  <c r="BF71" i="15"/>
  <c r="V71" i="15"/>
  <c r="BD71" i="15"/>
  <c r="AO71" i="15"/>
  <c r="AB71" i="15"/>
  <c r="X71" i="15"/>
  <c r="AZ71" i="15"/>
  <c r="AK71" i="15"/>
  <c r="Z71" i="15"/>
  <c r="R71" i="15"/>
  <c r="T71" i="15"/>
  <c r="F70" i="15"/>
  <c r="F63" i="22" s="1"/>
  <c r="G70" i="15"/>
  <c r="G63" i="22" s="1"/>
  <c r="E70" i="15"/>
  <c r="E63" i="22" s="1"/>
  <c r="N71" i="8"/>
  <c r="P71" i="8"/>
  <c r="L71" i="8"/>
  <c r="M71" i="8"/>
  <c r="O71" i="8"/>
  <c r="J71" i="8"/>
  <c r="H71" i="8"/>
  <c r="F71" i="8"/>
  <c r="D71" i="8"/>
  <c r="B71" i="8"/>
  <c r="A72" i="8"/>
  <c r="K71" i="8"/>
  <c r="I71" i="8"/>
  <c r="G71" i="8"/>
  <c r="E71" i="8"/>
  <c r="C71" i="8"/>
  <c r="A73" i="1"/>
  <c r="O72" i="1"/>
  <c r="L72" i="1"/>
  <c r="M72" i="1"/>
  <c r="N72" i="1"/>
  <c r="P72" i="1"/>
  <c r="G72" i="1"/>
  <c r="I72" i="1"/>
  <c r="K72" i="1"/>
  <c r="H72" i="1"/>
  <c r="J72" i="1"/>
  <c r="D72" i="1"/>
  <c r="F72" i="1"/>
  <c r="C72" i="1"/>
  <c r="E72" i="1"/>
  <c r="B72" i="1"/>
  <c r="D93" i="28" l="1"/>
  <c r="C93" i="28"/>
  <c r="E71" i="15"/>
  <c r="E64" i="22" s="1"/>
  <c r="BC72" i="15"/>
  <c r="AP72" i="15"/>
  <c r="AL72" i="15"/>
  <c r="BE72" i="15"/>
  <c r="AN72" i="15"/>
  <c r="U72" i="15"/>
  <c r="BA72" i="15"/>
  <c r="AA72" i="15"/>
  <c r="W72" i="15"/>
  <c r="AJ72" i="15"/>
  <c r="AY72" i="15"/>
  <c r="Y72" i="15"/>
  <c r="Q72" i="15"/>
  <c r="S72" i="15"/>
  <c r="D71" i="15"/>
  <c r="D64" i="22" s="1"/>
  <c r="BB72" i="15"/>
  <c r="AM72" i="15"/>
  <c r="AO72" i="15"/>
  <c r="BD72" i="15"/>
  <c r="AB72" i="15"/>
  <c r="V72" i="15"/>
  <c r="AQ72" i="15"/>
  <c r="BF72" i="15"/>
  <c r="X72" i="15"/>
  <c r="AZ72" i="15"/>
  <c r="AK72" i="15"/>
  <c r="R72" i="15"/>
  <c r="Z72" i="15"/>
  <c r="T72" i="15"/>
  <c r="F71" i="15"/>
  <c r="F64" i="22" s="1"/>
  <c r="G71" i="15"/>
  <c r="G64" i="22" s="1"/>
  <c r="L72" i="8"/>
  <c r="N72" i="8"/>
  <c r="P72" i="8"/>
  <c r="M72" i="8"/>
  <c r="O72" i="8"/>
  <c r="J72" i="8"/>
  <c r="H72" i="8"/>
  <c r="F72" i="8"/>
  <c r="D72" i="8"/>
  <c r="B72" i="8"/>
  <c r="A73" i="8"/>
  <c r="K72" i="8"/>
  <c r="I72" i="8"/>
  <c r="G72" i="8"/>
  <c r="E72" i="8"/>
  <c r="C72" i="8"/>
  <c r="A74" i="1"/>
  <c r="N73" i="1"/>
  <c r="P73" i="1"/>
  <c r="M73" i="1"/>
  <c r="O73" i="1"/>
  <c r="L73" i="1"/>
  <c r="G73" i="1"/>
  <c r="I73" i="1"/>
  <c r="K73" i="1"/>
  <c r="H73" i="1"/>
  <c r="J73" i="1"/>
  <c r="D73" i="1"/>
  <c r="F73" i="1"/>
  <c r="C73" i="1"/>
  <c r="E73" i="1"/>
  <c r="B73" i="1"/>
  <c r="C94" i="28" l="1"/>
  <c r="D94" i="28"/>
  <c r="G72" i="15"/>
  <c r="G65" i="22" s="1"/>
  <c r="BC73" i="15"/>
  <c r="AL73" i="15"/>
  <c r="AP73" i="15"/>
  <c r="BA73" i="15"/>
  <c r="AN73" i="15"/>
  <c r="BE73" i="15"/>
  <c r="AA73" i="15"/>
  <c r="U73" i="15"/>
  <c r="W73" i="15"/>
  <c r="AJ73" i="15"/>
  <c r="AY73" i="15"/>
  <c r="Q73" i="15"/>
  <c r="Y73" i="15"/>
  <c r="S73" i="15"/>
  <c r="F72" i="15"/>
  <c r="F65" i="22" s="1"/>
  <c r="BD73" i="15"/>
  <c r="AQ73" i="15"/>
  <c r="AM73" i="15"/>
  <c r="BF73" i="15"/>
  <c r="AB73" i="15"/>
  <c r="AO73" i="15"/>
  <c r="V73" i="15"/>
  <c r="BB73" i="15"/>
  <c r="X73" i="15"/>
  <c r="AK73" i="15"/>
  <c r="AZ73" i="15"/>
  <c r="Z73" i="15"/>
  <c r="R73" i="15"/>
  <c r="T73" i="15"/>
  <c r="E72" i="15"/>
  <c r="E65" i="22" s="1"/>
  <c r="D72" i="15"/>
  <c r="D65" i="22" s="1"/>
  <c r="N73" i="8"/>
  <c r="P73" i="8"/>
  <c r="L73" i="8"/>
  <c r="M73" i="8"/>
  <c r="O73" i="8"/>
  <c r="J73" i="8"/>
  <c r="H73" i="8"/>
  <c r="F73" i="8"/>
  <c r="D73" i="8"/>
  <c r="B73" i="8"/>
  <c r="A74" i="8"/>
  <c r="K73" i="8"/>
  <c r="I73" i="8"/>
  <c r="G73" i="8"/>
  <c r="E73" i="8"/>
  <c r="C73" i="8"/>
  <c r="A75" i="1"/>
  <c r="O74" i="1"/>
  <c r="L74" i="1"/>
  <c r="M74" i="1"/>
  <c r="N74" i="1"/>
  <c r="P74" i="1"/>
  <c r="G74" i="1"/>
  <c r="I74" i="1"/>
  <c r="K74" i="1"/>
  <c r="H74" i="1"/>
  <c r="J74" i="1"/>
  <c r="D74" i="1"/>
  <c r="F74" i="1"/>
  <c r="C74" i="1"/>
  <c r="E74" i="1"/>
  <c r="B74" i="1"/>
  <c r="D95" i="28" l="1"/>
  <c r="C95" i="28"/>
  <c r="E73" i="15"/>
  <c r="E66" i="22" s="1"/>
  <c r="G73" i="15"/>
  <c r="G66" i="22" s="1"/>
  <c r="AL74" i="15"/>
  <c r="BE74" i="15"/>
  <c r="AN74" i="15"/>
  <c r="AP74" i="15"/>
  <c r="BA74" i="15"/>
  <c r="BC74" i="15"/>
  <c r="AA74" i="15"/>
  <c r="U74" i="15"/>
  <c r="W74" i="15"/>
  <c r="AJ74" i="15"/>
  <c r="AY74" i="15"/>
  <c r="Q74" i="15"/>
  <c r="Y74" i="15"/>
  <c r="S74" i="15"/>
  <c r="D73" i="15"/>
  <c r="D66" i="22" s="1"/>
  <c r="F73" i="15"/>
  <c r="F66" i="22" s="1"/>
  <c r="BD74" i="15"/>
  <c r="AQ74" i="15"/>
  <c r="AO74" i="15"/>
  <c r="AM74" i="15"/>
  <c r="BF74" i="15"/>
  <c r="AB74" i="15"/>
  <c r="V74" i="15"/>
  <c r="BB74" i="15"/>
  <c r="X74" i="15"/>
  <c r="AK74" i="15"/>
  <c r="AZ74" i="15"/>
  <c r="Z74" i="15"/>
  <c r="R74" i="15"/>
  <c r="T74" i="15"/>
  <c r="L74" i="8"/>
  <c r="N74" i="8"/>
  <c r="P74" i="8"/>
  <c r="M74" i="8"/>
  <c r="O74" i="8"/>
  <c r="J74" i="8"/>
  <c r="H74" i="8"/>
  <c r="F74" i="8"/>
  <c r="D74" i="8"/>
  <c r="B74" i="8"/>
  <c r="A75" i="8"/>
  <c r="K74" i="8"/>
  <c r="I74" i="8"/>
  <c r="G74" i="8"/>
  <c r="E74" i="8"/>
  <c r="C74" i="8"/>
  <c r="A76" i="1"/>
  <c r="N75" i="1"/>
  <c r="P75" i="1"/>
  <c r="M75" i="1"/>
  <c r="O75" i="1"/>
  <c r="L75" i="1"/>
  <c r="G75" i="1"/>
  <c r="I75" i="1"/>
  <c r="K75" i="1"/>
  <c r="H75" i="1"/>
  <c r="J75" i="1"/>
  <c r="D75" i="1"/>
  <c r="F75" i="1"/>
  <c r="C75" i="1"/>
  <c r="E75" i="1"/>
  <c r="B75" i="1"/>
  <c r="D96" i="28" l="1"/>
  <c r="C96" i="28"/>
  <c r="E74" i="15"/>
  <c r="E67" i="22" s="1"/>
  <c r="G74" i="15"/>
  <c r="G67" i="22" s="1"/>
  <c r="F74" i="15"/>
  <c r="F67" i="22" s="1"/>
  <c r="AP75" i="15"/>
  <c r="BC75" i="15"/>
  <c r="BE75" i="15"/>
  <c r="U75" i="15"/>
  <c r="BA75" i="15"/>
  <c r="AA75" i="15"/>
  <c r="AL75" i="15"/>
  <c r="AN75" i="15"/>
  <c r="W75" i="15"/>
  <c r="AY75" i="15"/>
  <c r="AJ75" i="15"/>
  <c r="Y75" i="15"/>
  <c r="Q75" i="15"/>
  <c r="S75" i="15"/>
  <c r="BD75" i="15"/>
  <c r="AM75" i="15"/>
  <c r="AO75" i="15"/>
  <c r="BF75" i="15"/>
  <c r="AQ75" i="15"/>
  <c r="AB75" i="15"/>
  <c r="V75" i="15"/>
  <c r="BB75" i="15"/>
  <c r="X75" i="15"/>
  <c r="AZ75" i="15"/>
  <c r="AK75" i="15"/>
  <c r="R75" i="15"/>
  <c r="Z75" i="15"/>
  <c r="T75" i="15"/>
  <c r="D74" i="15"/>
  <c r="D67" i="22" s="1"/>
  <c r="N75" i="8"/>
  <c r="P75" i="8"/>
  <c r="L75" i="8"/>
  <c r="M75" i="8"/>
  <c r="O75" i="8"/>
  <c r="J75" i="8"/>
  <c r="H75" i="8"/>
  <c r="F75" i="8"/>
  <c r="D75" i="8"/>
  <c r="B75" i="8"/>
  <c r="A76" i="8"/>
  <c r="K75" i="8"/>
  <c r="I75" i="8"/>
  <c r="G75" i="8"/>
  <c r="E75" i="8"/>
  <c r="C75" i="8"/>
  <c r="A77" i="1"/>
  <c r="O76" i="1"/>
  <c r="L76" i="1"/>
  <c r="M76" i="1"/>
  <c r="N76" i="1"/>
  <c r="P76" i="1"/>
  <c r="G76" i="1"/>
  <c r="I76" i="1"/>
  <c r="K76" i="1"/>
  <c r="H76" i="1"/>
  <c r="J76" i="1"/>
  <c r="D76" i="1"/>
  <c r="F76" i="1"/>
  <c r="C76" i="1"/>
  <c r="E76" i="1"/>
  <c r="B76" i="1"/>
  <c r="D97" i="28" l="1"/>
  <c r="C97" i="28"/>
  <c r="D75" i="15"/>
  <c r="D68" i="22" s="1"/>
  <c r="BD76" i="15"/>
  <c r="AM76" i="15"/>
  <c r="AQ76" i="15"/>
  <c r="BB76" i="15"/>
  <c r="BF76" i="15"/>
  <c r="AO76" i="15"/>
  <c r="AB76" i="15"/>
  <c r="V76" i="15"/>
  <c r="X76" i="15"/>
  <c r="AZ76" i="15"/>
  <c r="AK76" i="15"/>
  <c r="Z76" i="15"/>
  <c r="R76" i="15"/>
  <c r="T76" i="15"/>
  <c r="E75" i="15"/>
  <c r="E68" i="22" s="1"/>
  <c r="AP76" i="15"/>
  <c r="AN76" i="15"/>
  <c r="BA76" i="15"/>
  <c r="BC76" i="15"/>
  <c r="AA76" i="15"/>
  <c r="AL76" i="15"/>
  <c r="BE76" i="15"/>
  <c r="U76" i="15"/>
  <c r="W76" i="15"/>
  <c r="AJ76" i="15"/>
  <c r="AY76" i="15"/>
  <c r="Q76" i="15"/>
  <c r="Y76" i="15"/>
  <c r="S76" i="15"/>
  <c r="G75" i="15"/>
  <c r="G68" i="22" s="1"/>
  <c r="F75" i="15"/>
  <c r="F68" i="22" s="1"/>
  <c r="L76" i="8"/>
  <c r="N76" i="8"/>
  <c r="P76" i="8"/>
  <c r="M76" i="8"/>
  <c r="O76" i="8"/>
  <c r="J76" i="8"/>
  <c r="H76" i="8"/>
  <c r="F76" i="8"/>
  <c r="D76" i="8"/>
  <c r="B76" i="8"/>
  <c r="A77" i="8"/>
  <c r="K76" i="8"/>
  <c r="I76" i="8"/>
  <c r="G76" i="8"/>
  <c r="E76" i="8"/>
  <c r="C76" i="8"/>
  <c r="A78" i="1"/>
  <c r="N77" i="1"/>
  <c r="P77" i="1"/>
  <c r="M77" i="1"/>
  <c r="O77" i="1"/>
  <c r="L77" i="1"/>
  <c r="G77" i="1"/>
  <c r="I77" i="1"/>
  <c r="K77" i="1"/>
  <c r="H77" i="1"/>
  <c r="J77" i="1"/>
  <c r="D77" i="1"/>
  <c r="F77" i="1"/>
  <c r="C77" i="1"/>
  <c r="E77" i="1"/>
  <c r="B77" i="1"/>
  <c r="D98" i="28" l="1"/>
  <c r="C98" i="28"/>
  <c r="F76" i="15"/>
  <c r="F69" i="22" s="1"/>
  <c r="D76" i="15"/>
  <c r="D69" i="22" s="1"/>
  <c r="AL77" i="15"/>
  <c r="BC77" i="15"/>
  <c r="BA77" i="15"/>
  <c r="AN77" i="15"/>
  <c r="AP77" i="15"/>
  <c r="U77" i="15"/>
  <c r="AA77" i="15"/>
  <c r="BE77" i="15"/>
  <c r="W77" i="15"/>
  <c r="AJ77" i="15"/>
  <c r="AY77" i="15"/>
  <c r="Y77" i="15"/>
  <c r="Q77" i="15"/>
  <c r="S77" i="15"/>
  <c r="G76" i="15"/>
  <c r="G69" i="22" s="1"/>
  <c r="E76" i="15"/>
  <c r="E69" i="22" s="1"/>
  <c r="AQ77" i="15"/>
  <c r="BD77" i="15"/>
  <c r="AO77" i="15"/>
  <c r="AB77" i="15"/>
  <c r="BF77" i="15"/>
  <c r="BB77" i="15"/>
  <c r="V77" i="15"/>
  <c r="AM77" i="15"/>
  <c r="X77" i="15"/>
  <c r="AK77" i="15"/>
  <c r="AZ77" i="15"/>
  <c r="R77" i="15"/>
  <c r="Z77" i="15"/>
  <c r="T77" i="15"/>
  <c r="N77" i="8"/>
  <c r="P77" i="8"/>
  <c r="L77" i="8"/>
  <c r="M77" i="8"/>
  <c r="O77" i="8"/>
  <c r="J77" i="8"/>
  <c r="H77" i="8"/>
  <c r="F77" i="8"/>
  <c r="D77" i="8"/>
  <c r="B77" i="8"/>
  <c r="A78" i="8"/>
  <c r="K77" i="8"/>
  <c r="I77" i="8"/>
  <c r="G77" i="8"/>
  <c r="E77" i="8"/>
  <c r="C77" i="8"/>
  <c r="A79" i="1"/>
  <c r="O78" i="1"/>
  <c r="L78" i="1"/>
  <c r="M78" i="1"/>
  <c r="N78" i="1"/>
  <c r="P78" i="1"/>
  <c r="G78" i="1"/>
  <c r="I78" i="1"/>
  <c r="K78" i="1"/>
  <c r="H78" i="1"/>
  <c r="J78" i="1"/>
  <c r="D78" i="1"/>
  <c r="F78" i="1"/>
  <c r="C78" i="1"/>
  <c r="E78" i="1"/>
  <c r="B78" i="1"/>
  <c r="C99" i="28" l="1"/>
  <c r="D99" i="28"/>
  <c r="G77" i="15"/>
  <c r="G70" i="22" s="1"/>
  <c r="F77" i="15"/>
  <c r="F70" i="22" s="1"/>
  <c r="AL78" i="15"/>
  <c r="BC78" i="15"/>
  <c r="BE78" i="15"/>
  <c r="AP78" i="15"/>
  <c r="AN78" i="15"/>
  <c r="BA78" i="15"/>
  <c r="U78" i="15"/>
  <c r="AA78" i="15"/>
  <c r="W78" i="15"/>
  <c r="AJ78" i="15"/>
  <c r="AY78" i="15"/>
  <c r="Q78" i="15"/>
  <c r="Y78" i="15"/>
  <c r="S78" i="15"/>
  <c r="AQ78" i="15"/>
  <c r="BD78" i="15"/>
  <c r="BF78" i="15"/>
  <c r="AO78" i="15"/>
  <c r="AB78" i="15"/>
  <c r="V78" i="15"/>
  <c r="BB78" i="15"/>
  <c r="AM78" i="15"/>
  <c r="X78" i="15"/>
  <c r="AZ78" i="15"/>
  <c r="AK78" i="15"/>
  <c r="R78" i="15"/>
  <c r="Z78" i="15"/>
  <c r="T78" i="15"/>
  <c r="E77" i="15"/>
  <c r="E70" i="22" s="1"/>
  <c r="D77" i="15"/>
  <c r="D70" i="22" s="1"/>
  <c r="L78" i="8"/>
  <c r="N78" i="8"/>
  <c r="P78" i="8"/>
  <c r="M78" i="8"/>
  <c r="O78" i="8"/>
  <c r="J78" i="8"/>
  <c r="H78" i="8"/>
  <c r="F78" i="8"/>
  <c r="D78" i="8"/>
  <c r="B78" i="8"/>
  <c r="A79" i="8"/>
  <c r="K78" i="8"/>
  <c r="I78" i="8"/>
  <c r="G78" i="8"/>
  <c r="E78" i="8"/>
  <c r="C78" i="8"/>
  <c r="A80" i="1"/>
  <c r="N79" i="1"/>
  <c r="P79" i="1"/>
  <c r="M79" i="1"/>
  <c r="O79" i="1"/>
  <c r="L79" i="1"/>
  <c r="G79" i="1"/>
  <c r="I79" i="1"/>
  <c r="K79" i="1"/>
  <c r="H79" i="1"/>
  <c r="J79" i="1"/>
  <c r="D79" i="1"/>
  <c r="F79" i="1"/>
  <c r="C79" i="1"/>
  <c r="E79" i="1"/>
  <c r="B79" i="1"/>
  <c r="D100" i="28" l="1"/>
  <c r="C100" i="28"/>
  <c r="G78" i="15"/>
  <c r="G71" i="22" s="1"/>
  <c r="F78" i="15"/>
  <c r="F71" i="22" s="1"/>
  <c r="BC79" i="15"/>
  <c r="AN79" i="15"/>
  <c r="BE79" i="15"/>
  <c r="AL79" i="15"/>
  <c r="BA79" i="15"/>
  <c r="AA79" i="15"/>
  <c r="U79" i="15"/>
  <c r="AP79" i="15"/>
  <c r="W79" i="15"/>
  <c r="AY79" i="15"/>
  <c r="AJ79" i="15"/>
  <c r="Q79" i="15"/>
  <c r="Y79" i="15"/>
  <c r="S79" i="15"/>
  <c r="E78" i="15"/>
  <c r="E71" i="22" s="1"/>
  <c r="AM79" i="15"/>
  <c r="BD79" i="15"/>
  <c r="AO79" i="15"/>
  <c r="AQ79" i="15"/>
  <c r="BB79" i="15"/>
  <c r="BF79" i="15"/>
  <c r="AB79" i="15"/>
  <c r="V79" i="15"/>
  <c r="X79" i="15"/>
  <c r="AK79" i="15"/>
  <c r="AZ79" i="15"/>
  <c r="Z79" i="15"/>
  <c r="R79" i="15"/>
  <c r="T79" i="15"/>
  <c r="D78" i="15"/>
  <c r="D71" i="22" s="1"/>
  <c r="N79" i="8"/>
  <c r="P79" i="8"/>
  <c r="L79" i="8"/>
  <c r="M79" i="8"/>
  <c r="O79" i="8"/>
  <c r="J79" i="8"/>
  <c r="H79" i="8"/>
  <c r="F79" i="8"/>
  <c r="D79" i="8"/>
  <c r="B79" i="8"/>
  <c r="A80" i="8"/>
  <c r="K79" i="8"/>
  <c r="I79" i="8"/>
  <c r="G79" i="8"/>
  <c r="E79" i="8"/>
  <c r="C79" i="8"/>
  <c r="A81" i="1"/>
  <c r="O80" i="1"/>
  <c r="L80" i="1"/>
  <c r="M80" i="1"/>
  <c r="N80" i="1"/>
  <c r="P80" i="1"/>
  <c r="G80" i="1"/>
  <c r="I80" i="1"/>
  <c r="K80" i="1"/>
  <c r="H80" i="1"/>
  <c r="J80" i="1"/>
  <c r="D80" i="1"/>
  <c r="F80" i="1"/>
  <c r="C80" i="1"/>
  <c r="E80" i="1"/>
  <c r="B80" i="1"/>
  <c r="D101" i="28" l="1"/>
  <c r="C101" i="28"/>
  <c r="E79" i="15"/>
  <c r="E72" i="22" s="1"/>
  <c r="G79" i="15"/>
  <c r="G72" i="22" s="1"/>
  <c r="D79" i="15"/>
  <c r="D72" i="22" s="1"/>
  <c r="BC80" i="15"/>
  <c r="AP80" i="15"/>
  <c r="AL80" i="15"/>
  <c r="BE80" i="15"/>
  <c r="AA80" i="15"/>
  <c r="U80" i="15"/>
  <c r="AN80" i="15"/>
  <c r="BA80" i="15"/>
  <c r="W80" i="15"/>
  <c r="AJ80" i="15"/>
  <c r="AY80" i="15"/>
  <c r="Q80" i="15"/>
  <c r="Y80" i="15"/>
  <c r="S80" i="15"/>
  <c r="BD80" i="15"/>
  <c r="BB80" i="15"/>
  <c r="AO80" i="15"/>
  <c r="AQ80" i="15"/>
  <c r="AM80" i="15"/>
  <c r="BF80" i="15"/>
  <c r="AB80" i="15"/>
  <c r="V80" i="15"/>
  <c r="X80" i="15"/>
  <c r="AZ80" i="15"/>
  <c r="AK80" i="15"/>
  <c r="R80" i="15"/>
  <c r="Z80" i="15"/>
  <c r="T80" i="15"/>
  <c r="F79" i="15"/>
  <c r="F72" i="22" s="1"/>
  <c r="L80" i="8"/>
  <c r="N80" i="8"/>
  <c r="P80" i="8"/>
  <c r="M80" i="8"/>
  <c r="O80" i="8"/>
  <c r="J80" i="8"/>
  <c r="H80" i="8"/>
  <c r="F80" i="8"/>
  <c r="D80" i="8"/>
  <c r="B80" i="8"/>
  <c r="A81" i="8"/>
  <c r="K80" i="8"/>
  <c r="I80" i="8"/>
  <c r="G80" i="8"/>
  <c r="E80" i="8"/>
  <c r="C80" i="8"/>
  <c r="A82" i="1"/>
  <c r="N81" i="1"/>
  <c r="P81" i="1"/>
  <c r="M81" i="1"/>
  <c r="O81" i="1"/>
  <c r="L81" i="1"/>
  <c r="G81" i="1"/>
  <c r="I81" i="1"/>
  <c r="K81" i="1"/>
  <c r="H81" i="1"/>
  <c r="J81" i="1"/>
  <c r="D81" i="1"/>
  <c r="F81" i="1"/>
  <c r="C81" i="1"/>
  <c r="E81" i="1"/>
  <c r="B81" i="1"/>
  <c r="D102" i="28" l="1"/>
  <c r="C102" i="28"/>
  <c r="F80" i="15"/>
  <c r="F73" i="22" s="1"/>
  <c r="BD81" i="15"/>
  <c r="AQ81" i="15"/>
  <c r="AM81" i="15"/>
  <c r="BF81" i="15"/>
  <c r="BB81" i="15"/>
  <c r="AO81" i="15"/>
  <c r="AB81" i="15"/>
  <c r="V81" i="15"/>
  <c r="X81" i="15"/>
  <c r="AZ81" i="15"/>
  <c r="AK81" i="15"/>
  <c r="Z81" i="15"/>
  <c r="R81" i="15"/>
  <c r="T81" i="15"/>
  <c r="G80" i="15"/>
  <c r="G73" i="22" s="1"/>
  <c r="E80" i="15"/>
  <c r="E73" i="22" s="1"/>
  <c r="BC81" i="15"/>
  <c r="BA81" i="15"/>
  <c r="AL81" i="15"/>
  <c r="BE81" i="15"/>
  <c r="AA81" i="15"/>
  <c r="AP81" i="15"/>
  <c r="AN81" i="15"/>
  <c r="U81" i="15"/>
  <c r="W81" i="15"/>
  <c r="AJ81" i="15"/>
  <c r="AY81" i="15"/>
  <c r="Q81" i="15"/>
  <c r="Y81" i="15"/>
  <c r="S81" i="15"/>
  <c r="D80" i="15"/>
  <c r="D73" i="22" s="1"/>
  <c r="N81" i="8"/>
  <c r="P81" i="8"/>
  <c r="L81" i="8"/>
  <c r="M81" i="8"/>
  <c r="O81" i="8"/>
  <c r="J81" i="8"/>
  <c r="H81" i="8"/>
  <c r="F81" i="8"/>
  <c r="D81" i="8"/>
  <c r="B81" i="8"/>
  <c r="A82" i="8"/>
  <c r="K81" i="8"/>
  <c r="I81" i="8"/>
  <c r="G81" i="8"/>
  <c r="E81" i="8"/>
  <c r="C81" i="8"/>
  <c r="A83" i="1"/>
  <c r="O82" i="1"/>
  <c r="L82" i="1"/>
  <c r="M82" i="1"/>
  <c r="N82" i="1"/>
  <c r="P82" i="1"/>
  <c r="G82" i="1"/>
  <c r="I82" i="1"/>
  <c r="K82" i="1"/>
  <c r="H82" i="1"/>
  <c r="J82" i="1"/>
  <c r="D82" i="1"/>
  <c r="F82" i="1"/>
  <c r="C82" i="1"/>
  <c r="E82" i="1"/>
  <c r="B82" i="1"/>
  <c r="D103" i="28" l="1"/>
  <c r="C103" i="28"/>
  <c r="D81" i="15"/>
  <c r="D74" i="22" s="1"/>
  <c r="BD82" i="15"/>
  <c r="AO82" i="15"/>
  <c r="AM82" i="15"/>
  <c r="BF82" i="15"/>
  <c r="V82" i="15"/>
  <c r="AB82" i="15"/>
  <c r="BB82" i="15"/>
  <c r="AQ82" i="15"/>
  <c r="X82" i="15"/>
  <c r="AK82" i="15"/>
  <c r="AZ82" i="15"/>
  <c r="R82" i="15"/>
  <c r="Z82" i="15"/>
  <c r="T82" i="15"/>
  <c r="F81" i="15"/>
  <c r="F74" i="22" s="1"/>
  <c r="E81" i="15"/>
  <c r="E74" i="22" s="1"/>
  <c r="AL82" i="15"/>
  <c r="AN82" i="15"/>
  <c r="BC82" i="15"/>
  <c r="BE82" i="15"/>
  <c r="U82" i="15"/>
  <c r="BA82" i="15"/>
  <c r="AA82" i="15"/>
  <c r="AP82" i="15"/>
  <c r="W82" i="15"/>
  <c r="AY82" i="15"/>
  <c r="AJ82" i="15"/>
  <c r="Y82" i="15"/>
  <c r="Q82" i="15"/>
  <c r="S82" i="15"/>
  <c r="G81" i="15"/>
  <c r="G74" i="22" s="1"/>
  <c r="L82" i="8"/>
  <c r="N82" i="8"/>
  <c r="P82" i="8"/>
  <c r="M82" i="8"/>
  <c r="O82" i="8"/>
  <c r="J82" i="8"/>
  <c r="H82" i="8"/>
  <c r="F82" i="8"/>
  <c r="D82" i="8"/>
  <c r="B82" i="8"/>
  <c r="A83" i="8"/>
  <c r="K82" i="8"/>
  <c r="I82" i="8"/>
  <c r="G82" i="8"/>
  <c r="E82" i="8"/>
  <c r="C82" i="8"/>
  <c r="A84" i="1"/>
  <c r="N83" i="1"/>
  <c r="P83" i="1"/>
  <c r="M83" i="1"/>
  <c r="O83" i="1"/>
  <c r="L83" i="1"/>
  <c r="G83" i="1"/>
  <c r="I83" i="1"/>
  <c r="K83" i="1"/>
  <c r="H83" i="1"/>
  <c r="J83" i="1"/>
  <c r="D83" i="1"/>
  <c r="F83" i="1"/>
  <c r="C83" i="1"/>
  <c r="E83" i="1"/>
  <c r="B83" i="1"/>
  <c r="D104" i="28" l="1"/>
  <c r="C104" i="28"/>
  <c r="F82" i="15"/>
  <c r="F75" i="22" s="1"/>
  <c r="E82" i="15"/>
  <c r="E75" i="22" s="1"/>
  <c r="G82" i="15"/>
  <c r="G75" i="22" s="1"/>
  <c r="BC83" i="15"/>
  <c r="AP83" i="15"/>
  <c r="AL83" i="15"/>
  <c r="BE83" i="15"/>
  <c r="AN83" i="15"/>
  <c r="BA83" i="15"/>
  <c r="AA83" i="15"/>
  <c r="U83" i="15"/>
  <c r="W83" i="15"/>
  <c r="AY83" i="15"/>
  <c r="AJ83" i="15"/>
  <c r="Q83" i="15"/>
  <c r="Y83" i="15"/>
  <c r="S83" i="15"/>
  <c r="BD83" i="15"/>
  <c r="AM83" i="15"/>
  <c r="BB83" i="15"/>
  <c r="AQ83" i="15"/>
  <c r="AO83" i="15"/>
  <c r="BF83" i="15"/>
  <c r="AB83" i="15"/>
  <c r="V83" i="15"/>
  <c r="X83" i="15"/>
  <c r="AK83" i="15"/>
  <c r="AZ83" i="15"/>
  <c r="Z83" i="15"/>
  <c r="R83" i="15"/>
  <c r="T83" i="15"/>
  <c r="D82" i="15"/>
  <c r="D75" i="22" s="1"/>
  <c r="N83" i="8"/>
  <c r="P83" i="8"/>
  <c r="L83" i="8"/>
  <c r="M83" i="8"/>
  <c r="O83" i="8"/>
  <c r="J83" i="8"/>
  <c r="H83" i="8"/>
  <c r="F83" i="8"/>
  <c r="D83" i="8"/>
  <c r="B83" i="8"/>
  <c r="A84" i="8"/>
  <c r="K83" i="8"/>
  <c r="I83" i="8"/>
  <c r="G83" i="8"/>
  <c r="E83" i="8"/>
  <c r="C83" i="8"/>
  <c r="A85" i="1"/>
  <c r="O84" i="1"/>
  <c r="L84" i="1"/>
  <c r="M84" i="1"/>
  <c r="N84" i="1"/>
  <c r="P84" i="1"/>
  <c r="G84" i="1"/>
  <c r="I84" i="1"/>
  <c r="K84" i="1"/>
  <c r="H84" i="1"/>
  <c r="J84" i="1"/>
  <c r="D84" i="1"/>
  <c r="F84" i="1"/>
  <c r="C84" i="1"/>
  <c r="E84" i="1"/>
  <c r="B84" i="1"/>
  <c r="D105" i="28" l="1"/>
  <c r="C105" i="28"/>
  <c r="F83" i="15"/>
  <c r="F76" i="22" s="1"/>
  <c r="AP84" i="15"/>
  <c r="BC84" i="15"/>
  <c r="AN84" i="15"/>
  <c r="AL84" i="15"/>
  <c r="BA84" i="15"/>
  <c r="BE84" i="15"/>
  <c r="AA84" i="15"/>
  <c r="U84" i="15"/>
  <c r="W84" i="15"/>
  <c r="AY84" i="15"/>
  <c r="AJ84" i="15"/>
  <c r="Q84" i="15"/>
  <c r="Y84" i="15"/>
  <c r="S84" i="15"/>
  <c r="D83" i="15"/>
  <c r="D76" i="22" s="1"/>
  <c r="E83" i="15"/>
  <c r="E76" i="22" s="1"/>
  <c r="G83" i="15"/>
  <c r="G76" i="22" s="1"/>
  <c r="AM84" i="15"/>
  <c r="AQ84" i="15"/>
  <c r="BB84" i="15"/>
  <c r="BD84" i="15"/>
  <c r="AO84" i="15"/>
  <c r="BF84" i="15"/>
  <c r="AB84" i="15"/>
  <c r="V84" i="15"/>
  <c r="X84" i="15"/>
  <c r="AZ84" i="15"/>
  <c r="AK84" i="15"/>
  <c r="Z84" i="15"/>
  <c r="R84" i="15"/>
  <c r="T84" i="15"/>
  <c r="L84" i="8"/>
  <c r="N84" i="8"/>
  <c r="P84" i="8"/>
  <c r="M84" i="8"/>
  <c r="O84" i="8"/>
  <c r="J84" i="8"/>
  <c r="H84" i="8"/>
  <c r="F84" i="8"/>
  <c r="D84" i="8"/>
  <c r="B84" i="8"/>
  <c r="A85" i="8"/>
  <c r="K84" i="8"/>
  <c r="I84" i="8"/>
  <c r="G84" i="8"/>
  <c r="E84" i="8"/>
  <c r="C84" i="8"/>
  <c r="A86" i="1"/>
  <c r="N85" i="1"/>
  <c r="P85" i="1"/>
  <c r="M85" i="1"/>
  <c r="O85" i="1"/>
  <c r="L85" i="1"/>
  <c r="G85" i="1"/>
  <c r="I85" i="1"/>
  <c r="K85" i="1"/>
  <c r="H85" i="1"/>
  <c r="J85" i="1"/>
  <c r="D85" i="1"/>
  <c r="F85" i="1"/>
  <c r="C85" i="1"/>
  <c r="E85" i="1"/>
  <c r="B85" i="1"/>
  <c r="C106" i="28" l="1"/>
  <c r="D106" i="28"/>
  <c r="F84" i="15"/>
  <c r="F77" i="22" s="1"/>
  <c r="G84" i="15"/>
  <c r="G77" i="22" s="1"/>
  <c r="D84" i="15"/>
  <c r="D77" i="22" s="1"/>
  <c r="AL85" i="15"/>
  <c r="BC85" i="15"/>
  <c r="AP85" i="15"/>
  <c r="BA85" i="15"/>
  <c r="AN85" i="15"/>
  <c r="AA85" i="15"/>
  <c r="U85" i="15"/>
  <c r="BE85" i="15"/>
  <c r="W85" i="15"/>
  <c r="AJ85" i="15"/>
  <c r="AY85" i="15"/>
  <c r="Y85" i="15"/>
  <c r="Q85" i="15"/>
  <c r="S85" i="15"/>
  <c r="AQ85" i="15"/>
  <c r="AO85" i="15"/>
  <c r="BB85" i="15"/>
  <c r="AB85" i="15"/>
  <c r="AM85" i="15"/>
  <c r="BD85" i="15"/>
  <c r="V85" i="15"/>
  <c r="BF85" i="15"/>
  <c r="X85" i="15"/>
  <c r="AZ85" i="15"/>
  <c r="AK85" i="15"/>
  <c r="R85" i="15"/>
  <c r="Z85" i="15"/>
  <c r="T85" i="15"/>
  <c r="E84" i="15"/>
  <c r="E77" i="22" s="1"/>
  <c r="N85" i="8"/>
  <c r="P85" i="8"/>
  <c r="L85" i="8"/>
  <c r="M85" i="8"/>
  <c r="O85" i="8"/>
  <c r="J85" i="8"/>
  <c r="H85" i="8"/>
  <c r="F85" i="8"/>
  <c r="D85" i="8"/>
  <c r="B85" i="8"/>
  <c r="A86" i="8"/>
  <c r="K85" i="8"/>
  <c r="I85" i="8"/>
  <c r="G85" i="8"/>
  <c r="E85" i="8"/>
  <c r="C85" i="8"/>
  <c r="A87" i="1"/>
  <c r="O86" i="1"/>
  <c r="L86" i="1"/>
  <c r="M86" i="1"/>
  <c r="N86" i="1"/>
  <c r="P86" i="1"/>
  <c r="G86" i="1"/>
  <c r="I86" i="1"/>
  <c r="K86" i="1"/>
  <c r="H86" i="1"/>
  <c r="J86" i="1"/>
  <c r="D86" i="1"/>
  <c r="F86" i="1"/>
  <c r="C86" i="1"/>
  <c r="E86" i="1"/>
  <c r="B86" i="1"/>
  <c r="C107" i="28" l="1"/>
  <c r="D107" i="28"/>
  <c r="D85" i="15"/>
  <c r="D78" i="22" s="1"/>
  <c r="AQ86" i="15"/>
  <c r="BD86" i="15"/>
  <c r="BF86" i="15"/>
  <c r="AM86" i="15"/>
  <c r="BB86" i="15"/>
  <c r="AB86" i="15"/>
  <c r="V86" i="15"/>
  <c r="AO86" i="15"/>
  <c r="X86" i="15"/>
  <c r="AK86" i="15"/>
  <c r="AZ86" i="15"/>
  <c r="R86" i="15"/>
  <c r="Z86" i="15"/>
  <c r="T86" i="15"/>
  <c r="G85" i="15"/>
  <c r="G78" i="22" s="1"/>
  <c r="E85" i="15"/>
  <c r="E78" i="22" s="1"/>
  <c r="AL86" i="15"/>
  <c r="BC86" i="15"/>
  <c r="AP86" i="15"/>
  <c r="BA86" i="15"/>
  <c r="AN86" i="15"/>
  <c r="BE86" i="15"/>
  <c r="U86" i="15"/>
  <c r="AA86" i="15"/>
  <c r="W86" i="15"/>
  <c r="AJ86" i="15"/>
  <c r="AY86" i="15"/>
  <c r="Q86" i="15"/>
  <c r="Y86" i="15"/>
  <c r="S86" i="15"/>
  <c r="F85" i="15"/>
  <c r="F78" i="22" s="1"/>
  <c r="L86" i="8"/>
  <c r="N86" i="8"/>
  <c r="P86" i="8"/>
  <c r="M86" i="8"/>
  <c r="O86" i="8"/>
  <c r="J86" i="8"/>
  <c r="H86" i="8"/>
  <c r="F86" i="8"/>
  <c r="D86" i="8"/>
  <c r="B86" i="8"/>
  <c r="A87" i="8"/>
  <c r="K86" i="8"/>
  <c r="I86" i="8"/>
  <c r="G86" i="8"/>
  <c r="E86" i="8"/>
  <c r="C86" i="8"/>
  <c r="A88" i="1"/>
  <c r="N87" i="1"/>
  <c r="P87" i="1"/>
  <c r="M87" i="1"/>
  <c r="O87" i="1"/>
  <c r="L87" i="1"/>
  <c r="G87" i="1"/>
  <c r="I87" i="1"/>
  <c r="K87" i="1"/>
  <c r="H87" i="1"/>
  <c r="J87" i="1"/>
  <c r="D87" i="1"/>
  <c r="F87" i="1"/>
  <c r="C87" i="1"/>
  <c r="E87" i="1"/>
  <c r="B87" i="1"/>
  <c r="D108" i="28" l="1"/>
  <c r="C108" i="28"/>
  <c r="D86" i="15"/>
  <c r="D79" i="22" s="1"/>
  <c r="E86" i="15"/>
  <c r="E79" i="22" s="1"/>
  <c r="BC87" i="15"/>
  <c r="AN87" i="15"/>
  <c r="AP87" i="15"/>
  <c r="BE87" i="15"/>
  <c r="AL87" i="15"/>
  <c r="BA87" i="15"/>
  <c r="U87" i="15"/>
  <c r="AA87" i="15"/>
  <c r="W87" i="15"/>
  <c r="AY87" i="15"/>
  <c r="AJ87" i="15"/>
  <c r="Y87" i="15"/>
  <c r="Q87" i="15"/>
  <c r="S87" i="15"/>
  <c r="AM87" i="15"/>
  <c r="AQ87" i="15"/>
  <c r="BB87" i="15"/>
  <c r="BD87" i="15"/>
  <c r="BF87" i="15"/>
  <c r="V87" i="15"/>
  <c r="AO87" i="15"/>
  <c r="AB87" i="15"/>
  <c r="X87" i="15"/>
  <c r="AZ87" i="15"/>
  <c r="AK87" i="15"/>
  <c r="Z87" i="15"/>
  <c r="R87" i="15"/>
  <c r="T87" i="15"/>
  <c r="F86" i="15"/>
  <c r="F79" i="22" s="1"/>
  <c r="G86" i="15"/>
  <c r="G79" i="22" s="1"/>
  <c r="L87" i="8"/>
  <c r="N87" i="8"/>
  <c r="P87" i="8"/>
  <c r="M87" i="8"/>
  <c r="O87" i="8"/>
  <c r="J87" i="8"/>
  <c r="H87" i="8"/>
  <c r="F87" i="8"/>
  <c r="D87" i="8"/>
  <c r="B87" i="8"/>
  <c r="A88" i="8"/>
  <c r="K87" i="8"/>
  <c r="I87" i="8"/>
  <c r="G87" i="8"/>
  <c r="E87" i="8"/>
  <c r="C87" i="8"/>
  <c r="A89" i="1"/>
  <c r="O88" i="1"/>
  <c r="L88" i="1"/>
  <c r="M88" i="1"/>
  <c r="N88" i="1"/>
  <c r="P88" i="1"/>
  <c r="G88" i="1"/>
  <c r="I88" i="1"/>
  <c r="H88" i="1"/>
  <c r="J88" i="1"/>
  <c r="K88" i="1"/>
  <c r="D88" i="1"/>
  <c r="F88" i="1"/>
  <c r="C88" i="1"/>
  <c r="E88" i="1"/>
  <c r="B88" i="1"/>
  <c r="D109" i="28" l="1"/>
  <c r="C109" i="28"/>
  <c r="F87" i="15"/>
  <c r="F80" i="22" s="1"/>
  <c r="E87" i="15"/>
  <c r="E80" i="22" s="1"/>
  <c r="BC88" i="15"/>
  <c r="AP88" i="15"/>
  <c r="AL88" i="15"/>
  <c r="AN88" i="15"/>
  <c r="BE88" i="15"/>
  <c r="BA88" i="15"/>
  <c r="U88" i="15"/>
  <c r="AA88" i="15"/>
  <c r="W88" i="15"/>
  <c r="AY88" i="15"/>
  <c r="AJ88" i="15"/>
  <c r="Y88" i="15"/>
  <c r="Q88" i="15"/>
  <c r="S88" i="15"/>
  <c r="BD88" i="15"/>
  <c r="BB88" i="15"/>
  <c r="AM88" i="15"/>
  <c r="AO88" i="15"/>
  <c r="AQ88" i="15"/>
  <c r="BF88" i="15"/>
  <c r="AB88" i="15"/>
  <c r="V88" i="15"/>
  <c r="X88" i="15"/>
  <c r="AZ88" i="15"/>
  <c r="AK88" i="15"/>
  <c r="R88" i="15"/>
  <c r="Z88" i="15"/>
  <c r="T88" i="15"/>
  <c r="D87" i="15"/>
  <c r="D80" i="22" s="1"/>
  <c r="G87" i="15"/>
  <c r="G80" i="22" s="1"/>
  <c r="L88" i="8"/>
  <c r="N88" i="8"/>
  <c r="P88" i="8"/>
  <c r="M88" i="8"/>
  <c r="O88" i="8"/>
  <c r="J88" i="8"/>
  <c r="H88" i="8"/>
  <c r="F88" i="8"/>
  <c r="D88" i="8"/>
  <c r="B88" i="8"/>
  <c r="A89" i="8"/>
  <c r="K88" i="8"/>
  <c r="I88" i="8"/>
  <c r="G88" i="8"/>
  <c r="E88" i="8"/>
  <c r="C88" i="8"/>
  <c r="A90" i="1"/>
  <c r="N89" i="1"/>
  <c r="P89" i="1"/>
  <c r="M89" i="1"/>
  <c r="L89" i="1"/>
  <c r="O89" i="1"/>
  <c r="H89" i="1"/>
  <c r="J89" i="1"/>
  <c r="I89" i="1"/>
  <c r="D89" i="1"/>
  <c r="F89" i="1"/>
  <c r="G89" i="1"/>
  <c r="K89" i="1"/>
  <c r="C89" i="1"/>
  <c r="E89" i="1"/>
  <c r="B89" i="1"/>
  <c r="D110" i="28" l="1"/>
  <c r="C110" i="28"/>
  <c r="G88" i="15"/>
  <c r="G81" i="22" s="1"/>
  <c r="E88" i="15"/>
  <c r="E81" i="22" s="1"/>
  <c r="AL89" i="15"/>
  <c r="BA89" i="15"/>
  <c r="AP89" i="15"/>
  <c r="BC89" i="15"/>
  <c r="AN89" i="15"/>
  <c r="BE89" i="15"/>
  <c r="U89" i="15"/>
  <c r="AA89" i="15"/>
  <c r="W89" i="15"/>
  <c r="AJ89" i="15"/>
  <c r="AY89" i="15"/>
  <c r="Y89" i="15"/>
  <c r="Q89" i="15"/>
  <c r="S89" i="15"/>
  <c r="BD89" i="15"/>
  <c r="AQ89" i="15"/>
  <c r="AM89" i="15"/>
  <c r="BF89" i="15"/>
  <c r="AB89" i="15"/>
  <c r="AO89" i="15"/>
  <c r="V89" i="15"/>
  <c r="BB89" i="15"/>
  <c r="X89" i="15"/>
  <c r="AK89" i="15"/>
  <c r="AZ89" i="15"/>
  <c r="Z89" i="15"/>
  <c r="R89" i="15"/>
  <c r="T89" i="15"/>
  <c r="F88" i="15"/>
  <c r="F81" i="22" s="1"/>
  <c r="D88" i="15"/>
  <c r="D81" i="22" s="1"/>
  <c r="L89" i="8"/>
  <c r="N89" i="8"/>
  <c r="P89" i="8"/>
  <c r="M89" i="8"/>
  <c r="O89" i="8"/>
  <c r="J89" i="8"/>
  <c r="H89" i="8"/>
  <c r="F89" i="8"/>
  <c r="D89" i="8"/>
  <c r="B89" i="8"/>
  <c r="A90" i="8"/>
  <c r="K89" i="8"/>
  <c r="I89" i="8"/>
  <c r="G89" i="8"/>
  <c r="E89" i="8"/>
  <c r="C89" i="8"/>
  <c r="A91" i="1"/>
  <c r="O90" i="1"/>
  <c r="L90" i="1"/>
  <c r="M90" i="1"/>
  <c r="P90" i="1"/>
  <c r="N90" i="1"/>
  <c r="H90" i="1"/>
  <c r="J90" i="1"/>
  <c r="G90" i="1"/>
  <c r="K90" i="1"/>
  <c r="D90" i="1"/>
  <c r="F90" i="1"/>
  <c r="I90" i="1"/>
  <c r="C90" i="1"/>
  <c r="E90" i="1"/>
  <c r="B90" i="1"/>
  <c r="D111" i="28" l="1"/>
  <c r="C111" i="28"/>
  <c r="D89" i="15"/>
  <c r="D82" i="22" s="1"/>
  <c r="G89" i="15"/>
  <c r="G82" i="22" s="1"/>
  <c r="AL90" i="15"/>
  <c r="BE90" i="15"/>
  <c r="BC90" i="15"/>
  <c r="AP90" i="15"/>
  <c r="BA90" i="15"/>
  <c r="AA90" i="15"/>
  <c r="U90" i="15"/>
  <c r="AN90" i="15"/>
  <c r="W90" i="15"/>
  <c r="AJ90" i="15"/>
  <c r="AY90" i="15"/>
  <c r="Y90" i="15"/>
  <c r="Q90" i="15"/>
  <c r="S90" i="15"/>
  <c r="BD90" i="15"/>
  <c r="AQ90" i="15"/>
  <c r="AO90" i="15"/>
  <c r="AM90" i="15"/>
  <c r="BF90" i="15"/>
  <c r="BB90" i="15"/>
  <c r="V90" i="15"/>
  <c r="AB90" i="15"/>
  <c r="X90" i="15"/>
  <c r="AK90" i="15"/>
  <c r="AZ90" i="15"/>
  <c r="R90" i="15"/>
  <c r="Z90" i="15"/>
  <c r="T90" i="15"/>
  <c r="F89" i="15"/>
  <c r="F82" i="22" s="1"/>
  <c r="E89" i="15"/>
  <c r="E82" i="22" s="1"/>
  <c r="L90" i="8"/>
  <c r="N90" i="8"/>
  <c r="P90" i="8"/>
  <c r="M90" i="8"/>
  <c r="O90" i="8"/>
  <c r="J90" i="8"/>
  <c r="H90" i="8"/>
  <c r="F90" i="8"/>
  <c r="D90" i="8"/>
  <c r="B90" i="8"/>
  <c r="A91" i="8"/>
  <c r="K90" i="8"/>
  <c r="I90" i="8"/>
  <c r="G90" i="8"/>
  <c r="E90" i="8"/>
  <c r="C90" i="8"/>
  <c r="A92" i="1"/>
  <c r="N91" i="1"/>
  <c r="P91" i="1"/>
  <c r="M91" i="1"/>
  <c r="O91" i="1"/>
  <c r="L91" i="1"/>
  <c r="H91" i="1"/>
  <c r="J91" i="1"/>
  <c r="I91" i="1"/>
  <c r="D91" i="1"/>
  <c r="F91" i="1"/>
  <c r="G91" i="1"/>
  <c r="K91" i="1"/>
  <c r="C91" i="1"/>
  <c r="E91" i="1"/>
  <c r="B91" i="1"/>
  <c r="D112" i="28" l="1"/>
  <c r="C112" i="28"/>
  <c r="G90" i="15"/>
  <c r="G83" i="22" s="1"/>
  <c r="AP91" i="15"/>
  <c r="AL91" i="15"/>
  <c r="BE91" i="15"/>
  <c r="BC91" i="15"/>
  <c r="BA91" i="15"/>
  <c r="AN91" i="15"/>
  <c r="AA91" i="15"/>
  <c r="U91" i="15"/>
  <c r="W91" i="15"/>
  <c r="AY91" i="15"/>
  <c r="AJ91" i="15"/>
  <c r="Y91" i="15"/>
  <c r="Q91" i="15"/>
  <c r="S91" i="15"/>
  <c r="BD91" i="15"/>
  <c r="AM91" i="15"/>
  <c r="AO91" i="15"/>
  <c r="BF91" i="15"/>
  <c r="AQ91" i="15"/>
  <c r="V91" i="15"/>
  <c r="BB91" i="15"/>
  <c r="AB91" i="15"/>
  <c r="X91" i="15"/>
  <c r="AK91" i="15"/>
  <c r="AZ91" i="15"/>
  <c r="R91" i="15"/>
  <c r="Z91" i="15"/>
  <c r="T91" i="15"/>
  <c r="E90" i="15"/>
  <c r="E83" i="22" s="1"/>
  <c r="D90" i="15"/>
  <c r="D83" i="22" s="1"/>
  <c r="F90" i="15"/>
  <c r="F83" i="22" s="1"/>
  <c r="L91" i="8"/>
  <c r="N91" i="8"/>
  <c r="P91" i="8"/>
  <c r="M91" i="8"/>
  <c r="O91" i="8"/>
  <c r="J91" i="8"/>
  <c r="H91" i="8"/>
  <c r="F91" i="8"/>
  <c r="D91" i="8"/>
  <c r="B91" i="8"/>
  <c r="A92" i="8"/>
  <c r="K91" i="8"/>
  <c r="I91" i="8"/>
  <c r="G91" i="8"/>
  <c r="E91" i="8"/>
  <c r="C91" i="8"/>
  <c r="A93" i="1"/>
  <c r="O92" i="1"/>
  <c r="L92" i="1"/>
  <c r="M92" i="1"/>
  <c r="N92" i="1"/>
  <c r="P92" i="1"/>
  <c r="H92" i="1"/>
  <c r="J92" i="1"/>
  <c r="G92" i="1"/>
  <c r="K92" i="1"/>
  <c r="D92" i="1"/>
  <c r="F92" i="1"/>
  <c r="I92" i="1"/>
  <c r="C92" i="1"/>
  <c r="E92" i="1"/>
  <c r="B92" i="1"/>
  <c r="D113" i="28" l="1"/>
  <c r="C113" i="28"/>
  <c r="G91" i="15"/>
  <c r="G84" i="22" s="1"/>
  <c r="AP92" i="15"/>
  <c r="BA92" i="15"/>
  <c r="AN92" i="15"/>
  <c r="BE92" i="15"/>
  <c r="AA92" i="15"/>
  <c r="BC92" i="15"/>
  <c r="AL92" i="15"/>
  <c r="U92" i="15"/>
  <c r="W92" i="15"/>
  <c r="AY92" i="15"/>
  <c r="AJ92" i="15"/>
  <c r="Q92" i="15"/>
  <c r="Y92" i="15"/>
  <c r="S92" i="15"/>
  <c r="F91" i="15"/>
  <c r="F84" i="22" s="1"/>
  <c r="D91" i="15"/>
  <c r="D84" i="22" s="1"/>
  <c r="BD92" i="15"/>
  <c r="AM92" i="15"/>
  <c r="AQ92" i="15"/>
  <c r="BB92" i="15"/>
  <c r="BF92" i="15"/>
  <c r="AB92" i="15"/>
  <c r="V92" i="15"/>
  <c r="AO92" i="15"/>
  <c r="X92" i="15"/>
  <c r="AZ92" i="15"/>
  <c r="AK92" i="15"/>
  <c r="Z92" i="15"/>
  <c r="R92" i="15"/>
  <c r="T92" i="15"/>
  <c r="E91" i="15"/>
  <c r="E84" i="22" s="1"/>
  <c r="L92" i="8"/>
  <c r="N92" i="8"/>
  <c r="P92" i="8"/>
  <c r="M92" i="8"/>
  <c r="O92" i="8"/>
  <c r="J92" i="8"/>
  <c r="H92" i="8"/>
  <c r="F92" i="8"/>
  <c r="D92" i="8"/>
  <c r="B92" i="8"/>
  <c r="A93" i="8"/>
  <c r="K92" i="8"/>
  <c r="I92" i="8"/>
  <c r="G92" i="8"/>
  <c r="E92" i="8"/>
  <c r="C92" i="8"/>
  <c r="A94" i="1"/>
  <c r="N93" i="1"/>
  <c r="P93" i="1"/>
  <c r="M93" i="1"/>
  <c r="L93" i="1"/>
  <c r="O93" i="1"/>
  <c r="H93" i="1"/>
  <c r="J93" i="1"/>
  <c r="I93" i="1"/>
  <c r="D93" i="1"/>
  <c r="F93" i="1"/>
  <c r="G93" i="1"/>
  <c r="K93" i="1"/>
  <c r="C93" i="1"/>
  <c r="E93" i="1"/>
  <c r="B93" i="1"/>
  <c r="C114" i="28" l="1"/>
  <c r="D114" i="28"/>
  <c r="F92" i="15"/>
  <c r="F85" i="22" s="1"/>
  <c r="AQ93" i="15"/>
  <c r="BD93" i="15"/>
  <c r="AB93" i="15"/>
  <c r="AM93" i="15"/>
  <c r="AO93" i="15"/>
  <c r="BF93" i="15"/>
  <c r="BB93" i="15"/>
  <c r="V93" i="15"/>
  <c r="X93" i="15"/>
  <c r="AZ93" i="15"/>
  <c r="AK93" i="15"/>
  <c r="Z93" i="15"/>
  <c r="R93" i="15"/>
  <c r="T93" i="15"/>
  <c r="G92" i="15"/>
  <c r="G85" i="22" s="1"/>
  <c r="E92" i="15"/>
  <c r="E85" i="22" s="1"/>
  <c r="D92" i="15"/>
  <c r="D85" i="22" s="1"/>
  <c r="AL93" i="15"/>
  <c r="BC93" i="15"/>
  <c r="AP93" i="15"/>
  <c r="BA93" i="15"/>
  <c r="AN93" i="15"/>
  <c r="U93" i="15"/>
  <c r="AA93" i="15"/>
  <c r="BE93" i="15"/>
  <c r="W93" i="15"/>
  <c r="AY93" i="15"/>
  <c r="AJ93" i="15"/>
  <c r="Q93" i="15"/>
  <c r="Y93" i="15"/>
  <c r="S93" i="15"/>
  <c r="L93" i="8"/>
  <c r="N93" i="8"/>
  <c r="P93" i="8"/>
  <c r="M93" i="8"/>
  <c r="O93" i="8"/>
  <c r="J93" i="8"/>
  <c r="H93" i="8"/>
  <c r="F93" i="8"/>
  <c r="D93" i="8"/>
  <c r="B93" i="8"/>
  <c r="A94" i="8"/>
  <c r="K93" i="8"/>
  <c r="I93" i="8"/>
  <c r="G93" i="8"/>
  <c r="E93" i="8"/>
  <c r="C93" i="8"/>
  <c r="A95" i="1"/>
  <c r="O94" i="1"/>
  <c r="L94" i="1"/>
  <c r="M94" i="1"/>
  <c r="P94" i="1"/>
  <c r="N94" i="1"/>
  <c r="H94" i="1"/>
  <c r="J94" i="1"/>
  <c r="G94" i="1"/>
  <c r="K94" i="1"/>
  <c r="D94" i="1"/>
  <c r="F94" i="1"/>
  <c r="I94" i="1"/>
  <c r="C94" i="1"/>
  <c r="E94" i="1"/>
  <c r="B94" i="1"/>
  <c r="D115" i="28" l="1"/>
  <c r="C115" i="28"/>
  <c r="G93" i="15"/>
  <c r="G86" i="22" s="1"/>
  <c r="AL94" i="15"/>
  <c r="BC94" i="15"/>
  <c r="BE94" i="15"/>
  <c r="AP94" i="15"/>
  <c r="AN94" i="15"/>
  <c r="BA94" i="15"/>
  <c r="AA94" i="15"/>
  <c r="U94" i="15"/>
  <c r="W94" i="15"/>
  <c r="AJ94" i="15"/>
  <c r="AY94" i="15"/>
  <c r="Q94" i="15"/>
  <c r="Y94" i="15"/>
  <c r="S94" i="15"/>
  <c r="F93" i="15"/>
  <c r="F86" i="22" s="1"/>
  <c r="E93" i="15"/>
  <c r="E86" i="22" s="1"/>
  <c r="AQ94" i="15"/>
  <c r="BD94" i="15"/>
  <c r="BF94" i="15"/>
  <c r="AO94" i="15"/>
  <c r="AM94" i="15"/>
  <c r="V94" i="15"/>
  <c r="AB94" i="15"/>
  <c r="X94" i="15"/>
  <c r="BB94" i="15"/>
  <c r="AK94" i="15"/>
  <c r="AZ94" i="15"/>
  <c r="Z94" i="15"/>
  <c r="R94" i="15"/>
  <c r="T94" i="15"/>
  <c r="D93" i="15"/>
  <c r="D86" i="22" s="1"/>
  <c r="L94" i="8"/>
  <c r="N94" i="8"/>
  <c r="P94" i="8"/>
  <c r="M94" i="8"/>
  <c r="O94" i="8"/>
  <c r="J94" i="8"/>
  <c r="H94" i="8"/>
  <c r="F94" i="8"/>
  <c r="D94" i="8"/>
  <c r="B94" i="8"/>
  <c r="A95" i="8"/>
  <c r="K94" i="8"/>
  <c r="I94" i="8"/>
  <c r="G94" i="8"/>
  <c r="E94" i="8"/>
  <c r="C94" i="8"/>
  <c r="A96" i="1"/>
  <c r="N95" i="1"/>
  <c r="P95" i="1"/>
  <c r="M95" i="1"/>
  <c r="O95" i="1"/>
  <c r="L95" i="1"/>
  <c r="H95" i="1"/>
  <c r="J95" i="1"/>
  <c r="I95" i="1"/>
  <c r="D95" i="1"/>
  <c r="F95" i="1"/>
  <c r="G95" i="1"/>
  <c r="K95" i="1"/>
  <c r="C95" i="1"/>
  <c r="E95" i="1"/>
  <c r="B95" i="1"/>
  <c r="D116" i="28" l="1"/>
  <c r="C116" i="28"/>
  <c r="AM95" i="15"/>
  <c r="BD95" i="15"/>
  <c r="AO95" i="15"/>
  <c r="AQ95" i="15"/>
  <c r="BB95" i="15"/>
  <c r="BF95" i="15"/>
  <c r="V95" i="15"/>
  <c r="AB95" i="15"/>
  <c r="X95" i="15"/>
  <c r="AK95" i="15"/>
  <c r="AZ95" i="15"/>
  <c r="Z95" i="15"/>
  <c r="R95" i="15"/>
  <c r="T95" i="15"/>
  <c r="E94" i="15"/>
  <c r="E87" i="22" s="1"/>
  <c r="G94" i="15"/>
  <c r="G87" i="22" s="1"/>
  <c r="F94" i="15"/>
  <c r="F87" i="22" s="1"/>
  <c r="AN95" i="15"/>
  <c r="BE95" i="15"/>
  <c r="AP95" i="15"/>
  <c r="AL95" i="15"/>
  <c r="AA95" i="15"/>
  <c r="BA95" i="15"/>
  <c r="BC95" i="15"/>
  <c r="U95" i="15"/>
  <c r="W95" i="15"/>
  <c r="AY95" i="15"/>
  <c r="AJ95" i="15"/>
  <c r="Y95" i="15"/>
  <c r="Q95" i="15"/>
  <c r="S95" i="15"/>
  <c r="D94" i="15"/>
  <c r="D87" i="22" s="1"/>
  <c r="L95" i="8"/>
  <c r="N95" i="8"/>
  <c r="P95" i="8"/>
  <c r="M95" i="8"/>
  <c r="O95" i="8"/>
  <c r="J95" i="8"/>
  <c r="H95" i="8"/>
  <c r="F95" i="8"/>
  <c r="D95" i="8"/>
  <c r="B95" i="8"/>
  <c r="A96" i="8"/>
  <c r="K95" i="8"/>
  <c r="I95" i="8"/>
  <c r="G95" i="8"/>
  <c r="E95" i="8"/>
  <c r="C95" i="8"/>
  <c r="A97" i="1"/>
  <c r="O96" i="1"/>
  <c r="L96" i="1"/>
  <c r="M96" i="1"/>
  <c r="N96" i="1"/>
  <c r="P96" i="1"/>
  <c r="H96" i="1"/>
  <c r="J96" i="1"/>
  <c r="G96" i="1"/>
  <c r="K96" i="1"/>
  <c r="D96" i="1"/>
  <c r="F96" i="1"/>
  <c r="I96" i="1"/>
  <c r="C96" i="1"/>
  <c r="E96" i="1"/>
  <c r="B96" i="1"/>
  <c r="D117" i="28" l="1"/>
  <c r="C117" i="28"/>
  <c r="F95" i="15"/>
  <c r="F88" i="22" s="1"/>
  <c r="BD96" i="15"/>
  <c r="BB96" i="15"/>
  <c r="AO96" i="15"/>
  <c r="AQ96" i="15"/>
  <c r="AM96" i="15"/>
  <c r="AB96" i="15"/>
  <c r="V96" i="15"/>
  <c r="BF96" i="15"/>
  <c r="X96" i="15"/>
  <c r="AK96" i="15"/>
  <c r="AZ96" i="15"/>
  <c r="R96" i="15"/>
  <c r="Z96" i="15"/>
  <c r="T96" i="15"/>
  <c r="G95" i="15"/>
  <c r="G88" i="22" s="1"/>
  <c r="BC96" i="15"/>
  <c r="AP96" i="15"/>
  <c r="AL96" i="15"/>
  <c r="BE96" i="15"/>
  <c r="BA96" i="15"/>
  <c r="U96" i="15"/>
  <c r="AN96" i="15"/>
  <c r="AA96" i="15"/>
  <c r="W96" i="15"/>
  <c r="AJ96" i="15"/>
  <c r="AY96" i="15"/>
  <c r="Q96" i="15"/>
  <c r="Y96" i="15"/>
  <c r="S96" i="15"/>
  <c r="E95" i="15"/>
  <c r="E88" i="22" s="1"/>
  <c r="D95" i="15"/>
  <c r="D88" i="22" s="1"/>
  <c r="L96" i="8"/>
  <c r="N96" i="8"/>
  <c r="P96" i="8"/>
  <c r="M96" i="8"/>
  <c r="O96" i="8"/>
  <c r="J96" i="8"/>
  <c r="H96" i="8"/>
  <c r="F96" i="8"/>
  <c r="D96" i="8"/>
  <c r="B96" i="8"/>
  <c r="A97" i="8"/>
  <c r="K96" i="8"/>
  <c r="I96" i="8"/>
  <c r="G96" i="8"/>
  <c r="E96" i="8"/>
  <c r="C96" i="8"/>
  <c r="A98" i="1"/>
  <c r="N97" i="1"/>
  <c r="P97" i="1"/>
  <c r="M97" i="1"/>
  <c r="L97" i="1"/>
  <c r="O97" i="1"/>
  <c r="H97" i="1"/>
  <c r="J97" i="1"/>
  <c r="I97" i="1"/>
  <c r="D97" i="1"/>
  <c r="F97" i="1"/>
  <c r="G97" i="1"/>
  <c r="K97" i="1"/>
  <c r="C97" i="1"/>
  <c r="E97" i="1"/>
  <c r="B97" i="1"/>
  <c r="C118" i="28" l="1"/>
  <c r="D118" i="28"/>
  <c r="F96" i="15"/>
  <c r="F89" i="22" s="1"/>
  <c r="D96" i="15"/>
  <c r="D89" i="22" s="1"/>
  <c r="BD97" i="15"/>
  <c r="AQ97" i="15"/>
  <c r="AM97" i="15"/>
  <c r="BF97" i="15"/>
  <c r="BB97" i="15"/>
  <c r="AO97" i="15"/>
  <c r="V97" i="15"/>
  <c r="AB97" i="15"/>
  <c r="X97" i="15"/>
  <c r="AK97" i="15"/>
  <c r="AZ97" i="15"/>
  <c r="R97" i="15"/>
  <c r="Z97" i="15"/>
  <c r="T97" i="15"/>
  <c r="G96" i="15"/>
  <c r="G89" i="22" s="1"/>
  <c r="BA97" i="15"/>
  <c r="BE97" i="15"/>
  <c r="AN97" i="15"/>
  <c r="AA97" i="15"/>
  <c r="U97" i="15"/>
  <c r="BC97" i="15"/>
  <c r="AL97" i="15"/>
  <c r="AP97" i="15"/>
  <c r="W97" i="15"/>
  <c r="AJ97" i="15"/>
  <c r="AY97" i="15"/>
  <c r="Q97" i="15"/>
  <c r="Y97" i="15"/>
  <c r="S97" i="15"/>
  <c r="E96" i="15"/>
  <c r="E89" i="22" s="1"/>
  <c r="L97" i="8"/>
  <c r="N97" i="8"/>
  <c r="P97" i="8"/>
  <c r="M97" i="8"/>
  <c r="O97" i="8"/>
  <c r="J97" i="8"/>
  <c r="H97" i="8"/>
  <c r="F97" i="8"/>
  <c r="D97" i="8"/>
  <c r="B97" i="8"/>
  <c r="A98" i="8"/>
  <c r="K97" i="8"/>
  <c r="I97" i="8"/>
  <c r="G97" i="8"/>
  <c r="E97" i="8"/>
  <c r="C97" i="8"/>
  <c r="A99" i="1"/>
  <c r="O98" i="1"/>
  <c r="L98" i="1"/>
  <c r="M98" i="1"/>
  <c r="P98" i="1"/>
  <c r="N98" i="1"/>
  <c r="H98" i="1"/>
  <c r="J98" i="1"/>
  <c r="G98" i="1"/>
  <c r="K98" i="1"/>
  <c r="D98" i="1"/>
  <c r="F98" i="1"/>
  <c r="I98" i="1"/>
  <c r="C98" i="1"/>
  <c r="E98" i="1"/>
  <c r="B98" i="1"/>
  <c r="D119" i="28" l="1"/>
  <c r="C119" i="28"/>
  <c r="E97" i="15"/>
  <c r="E90" i="22" s="1"/>
  <c r="D97" i="15"/>
  <c r="D90" i="22" s="1"/>
  <c r="F97" i="15"/>
  <c r="F90" i="22" s="1"/>
  <c r="G97" i="15"/>
  <c r="G90" i="22" s="1"/>
  <c r="AL98" i="15"/>
  <c r="AN98" i="15"/>
  <c r="BC98" i="15"/>
  <c r="AP98" i="15"/>
  <c r="BE98" i="15"/>
  <c r="U98" i="15"/>
  <c r="AA98" i="15"/>
  <c r="BA98" i="15"/>
  <c r="W98" i="15"/>
  <c r="AY98" i="15"/>
  <c r="AJ98" i="15"/>
  <c r="Q98" i="15"/>
  <c r="Y98" i="15"/>
  <c r="S98" i="15"/>
  <c r="AO98" i="15"/>
  <c r="AM98" i="15"/>
  <c r="BF98" i="15"/>
  <c r="AQ98" i="15"/>
  <c r="BD98" i="15"/>
  <c r="AB98" i="15"/>
  <c r="V98" i="15"/>
  <c r="BB98" i="15"/>
  <c r="X98" i="15"/>
  <c r="AZ98" i="15"/>
  <c r="AK98" i="15"/>
  <c r="R98" i="15"/>
  <c r="Z98" i="15"/>
  <c r="T98" i="15"/>
  <c r="L98" i="8"/>
  <c r="N98" i="8"/>
  <c r="P98" i="8"/>
  <c r="M98" i="8"/>
  <c r="O98" i="8"/>
  <c r="J98" i="8"/>
  <c r="H98" i="8"/>
  <c r="F98" i="8"/>
  <c r="D98" i="8"/>
  <c r="B98" i="8"/>
  <c r="A99" i="8"/>
  <c r="K98" i="8"/>
  <c r="I98" i="8"/>
  <c r="G98" i="8"/>
  <c r="E98" i="8"/>
  <c r="C98" i="8"/>
  <c r="A100" i="1"/>
  <c r="N99" i="1"/>
  <c r="P99" i="1"/>
  <c r="M99" i="1"/>
  <c r="O99" i="1"/>
  <c r="L99" i="1"/>
  <c r="H99" i="1"/>
  <c r="J99" i="1"/>
  <c r="I99" i="1"/>
  <c r="D99" i="1"/>
  <c r="F99" i="1"/>
  <c r="G99" i="1"/>
  <c r="K99" i="1"/>
  <c r="C99" i="1"/>
  <c r="E99" i="1"/>
  <c r="B99" i="1"/>
  <c r="D120" i="28" l="1"/>
  <c r="C120" i="28"/>
  <c r="D98" i="15"/>
  <c r="D91" i="22" s="1"/>
  <c r="E98" i="15"/>
  <c r="E91" i="22" s="1"/>
  <c r="BC99" i="15"/>
  <c r="AP99" i="15"/>
  <c r="AL99" i="15"/>
  <c r="BE99" i="15"/>
  <c r="AN99" i="15"/>
  <c r="AA99" i="15"/>
  <c r="BA99" i="15"/>
  <c r="U99" i="15"/>
  <c r="W99" i="15"/>
  <c r="AY99" i="15"/>
  <c r="AJ99" i="15"/>
  <c r="Y99" i="15"/>
  <c r="Q99" i="15"/>
  <c r="S99" i="15"/>
  <c r="BD99" i="15"/>
  <c r="AM99" i="15"/>
  <c r="AO99" i="15"/>
  <c r="BB99" i="15"/>
  <c r="BF99" i="15"/>
  <c r="V99" i="15"/>
  <c r="AB99" i="15"/>
  <c r="AQ99" i="15"/>
  <c r="X99" i="15"/>
  <c r="AZ99" i="15"/>
  <c r="AK99" i="15"/>
  <c r="Z99" i="15"/>
  <c r="R99" i="15"/>
  <c r="T99" i="15"/>
  <c r="G98" i="15"/>
  <c r="G91" i="22" s="1"/>
  <c r="F98" i="15"/>
  <c r="F91" i="22" s="1"/>
  <c r="L99" i="8"/>
  <c r="N99" i="8"/>
  <c r="P99" i="8"/>
  <c r="M99" i="8"/>
  <c r="O99" i="8"/>
  <c r="J99" i="8"/>
  <c r="H99" i="8"/>
  <c r="F99" i="8"/>
  <c r="D99" i="8"/>
  <c r="B99" i="8"/>
  <c r="A100" i="8"/>
  <c r="K99" i="8"/>
  <c r="I99" i="8"/>
  <c r="G99" i="8"/>
  <c r="E99" i="8"/>
  <c r="C99" i="8"/>
  <c r="A101" i="1"/>
  <c r="O100" i="1"/>
  <c r="L100" i="1"/>
  <c r="M100" i="1"/>
  <c r="N100" i="1"/>
  <c r="P100" i="1"/>
  <c r="H100" i="1"/>
  <c r="J100" i="1"/>
  <c r="G100" i="1"/>
  <c r="K100" i="1"/>
  <c r="D100" i="1"/>
  <c r="F100" i="1"/>
  <c r="I100" i="1"/>
  <c r="C100" i="1"/>
  <c r="E100" i="1"/>
  <c r="B100" i="1"/>
  <c r="D121" i="28" l="1"/>
  <c r="C121" i="28"/>
  <c r="E99" i="15"/>
  <c r="E92" i="22" s="1"/>
  <c r="AP100" i="15"/>
  <c r="BC100" i="15"/>
  <c r="AN100" i="15"/>
  <c r="AL100" i="15"/>
  <c r="AA100" i="15"/>
  <c r="U100" i="15"/>
  <c r="BE100" i="15"/>
  <c r="BA100" i="15"/>
  <c r="W100" i="15"/>
  <c r="AY100" i="15"/>
  <c r="AJ100" i="15"/>
  <c r="Q100" i="15"/>
  <c r="Y100" i="15"/>
  <c r="S100" i="15"/>
  <c r="AM100" i="15"/>
  <c r="AQ100" i="15"/>
  <c r="BB100" i="15"/>
  <c r="BD100" i="15"/>
  <c r="AO100" i="15"/>
  <c r="BF100" i="15"/>
  <c r="V100" i="15"/>
  <c r="AB100" i="15"/>
  <c r="X100" i="15"/>
  <c r="AK100" i="15"/>
  <c r="AZ100" i="15"/>
  <c r="Z100" i="15"/>
  <c r="R100" i="15"/>
  <c r="T100" i="15"/>
  <c r="G99" i="15"/>
  <c r="G92" i="22" s="1"/>
  <c r="F99" i="15"/>
  <c r="F92" i="22" s="1"/>
  <c r="D99" i="15"/>
  <c r="D92" i="22" s="1"/>
  <c r="L100" i="8"/>
  <c r="N100" i="8"/>
  <c r="P100" i="8"/>
  <c r="M100" i="8"/>
  <c r="O100" i="8"/>
  <c r="J100" i="8"/>
  <c r="H100" i="8"/>
  <c r="F100" i="8"/>
  <c r="D100" i="8"/>
  <c r="B100" i="8"/>
  <c r="A101" i="8"/>
  <c r="K100" i="8"/>
  <c r="I100" i="8"/>
  <c r="G100" i="8"/>
  <c r="E100" i="8"/>
  <c r="C100" i="8"/>
  <c r="A102" i="1"/>
  <c r="N101" i="1"/>
  <c r="P101" i="1"/>
  <c r="M101" i="1"/>
  <c r="L101" i="1"/>
  <c r="O101" i="1"/>
  <c r="H101" i="1"/>
  <c r="J101" i="1"/>
  <c r="I101" i="1"/>
  <c r="D101" i="1"/>
  <c r="F101" i="1"/>
  <c r="G101" i="1"/>
  <c r="K101" i="1"/>
  <c r="C101" i="1"/>
  <c r="E101" i="1"/>
  <c r="B101" i="1"/>
  <c r="D122" i="28" l="1"/>
  <c r="C122" i="28"/>
  <c r="F100" i="15"/>
  <c r="F93" i="22" s="1"/>
  <c r="D100" i="15"/>
  <c r="D93" i="22" s="1"/>
  <c r="AL101" i="15"/>
  <c r="BC101" i="15"/>
  <c r="AP101" i="15"/>
  <c r="BA101" i="15"/>
  <c r="AN101" i="15"/>
  <c r="BE101" i="15"/>
  <c r="AA101" i="15"/>
  <c r="U101" i="15"/>
  <c r="W101" i="15"/>
  <c r="AY101" i="15"/>
  <c r="AJ101" i="15"/>
  <c r="Y101" i="15"/>
  <c r="Q101" i="15"/>
  <c r="S101" i="15"/>
  <c r="AQ101" i="15"/>
  <c r="AO101" i="15"/>
  <c r="BB101" i="15"/>
  <c r="AB101" i="15"/>
  <c r="AM101" i="15"/>
  <c r="BD101" i="15"/>
  <c r="BF101" i="15"/>
  <c r="V101" i="15"/>
  <c r="X101" i="15"/>
  <c r="AK101" i="15"/>
  <c r="AZ101" i="15"/>
  <c r="Z101" i="15"/>
  <c r="R101" i="15"/>
  <c r="T101" i="15"/>
  <c r="G100" i="15"/>
  <c r="G93" i="22" s="1"/>
  <c r="E100" i="15"/>
  <c r="E93" i="22" s="1"/>
  <c r="L101" i="8"/>
  <c r="N101" i="8"/>
  <c r="P101" i="8"/>
  <c r="M101" i="8"/>
  <c r="O101" i="8"/>
  <c r="J101" i="8"/>
  <c r="H101" i="8"/>
  <c r="F101" i="8"/>
  <c r="D101" i="8"/>
  <c r="B101" i="8"/>
  <c r="A102" i="8"/>
  <c r="K101" i="8"/>
  <c r="I101" i="8"/>
  <c r="G101" i="8"/>
  <c r="E101" i="8"/>
  <c r="C101" i="8"/>
  <c r="A103" i="1"/>
  <c r="O102" i="1"/>
  <c r="L102" i="1"/>
  <c r="M102" i="1"/>
  <c r="P102" i="1"/>
  <c r="N102" i="1"/>
  <c r="H102" i="1"/>
  <c r="J102" i="1"/>
  <c r="G102" i="1"/>
  <c r="K102" i="1"/>
  <c r="D102" i="1"/>
  <c r="F102" i="1"/>
  <c r="I102" i="1"/>
  <c r="C102" i="1"/>
  <c r="E102" i="1"/>
  <c r="B102" i="1"/>
  <c r="D123" i="28" l="1"/>
  <c r="C123" i="28"/>
  <c r="D101" i="15"/>
  <c r="D94" i="22" s="1"/>
  <c r="G101" i="15"/>
  <c r="G94" i="22" s="1"/>
  <c r="F101" i="15"/>
  <c r="F94" i="22" s="1"/>
  <c r="AL102" i="15"/>
  <c r="BC102" i="15"/>
  <c r="AP102" i="15"/>
  <c r="BA102" i="15"/>
  <c r="BE102" i="15"/>
  <c r="AN102" i="15"/>
  <c r="U102" i="15"/>
  <c r="AA102" i="15"/>
  <c r="W102" i="15"/>
  <c r="AJ102" i="15"/>
  <c r="AY102" i="15"/>
  <c r="Y102" i="15"/>
  <c r="Q102" i="15"/>
  <c r="S102" i="15"/>
  <c r="BD102" i="15"/>
  <c r="AQ102" i="15"/>
  <c r="BF102" i="15"/>
  <c r="AM102" i="15"/>
  <c r="BB102" i="15"/>
  <c r="AB102" i="15"/>
  <c r="V102" i="15"/>
  <c r="AO102" i="15"/>
  <c r="X102" i="15"/>
  <c r="AK102" i="15"/>
  <c r="AZ102" i="15"/>
  <c r="Z102" i="15"/>
  <c r="R102" i="15"/>
  <c r="T102" i="15"/>
  <c r="E101" i="15"/>
  <c r="E94" i="22" s="1"/>
  <c r="L102" i="8"/>
  <c r="N102" i="8"/>
  <c r="P102" i="8"/>
  <c r="M102" i="8"/>
  <c r="O102" i="8"/>
  <c r="J102" i="8"/>
  <c r="H102" i="8"/>
  <c r="F102" i="8"/>
  <c r="D102" i="8"/>
  <c r="B102" i="8"/>
  <c r="A103" i="8"/>
  <c r="K102" i="8"/>
  <c r="I102" i="8"/>
  <c r="G102" i="8"/>
  <c r="E102" i="8"/>
  <c r="C102" i="8"/>
  <c r="A104" i="1"/>
  <c r="N103" i="1"/>
  <c r="P103" i="1"/>
  <c r="M103" i="1"/>
  <c r="O103" i="1"/>
  <c r="L103" i="1"/>
  <c r="H103" i="1"/>
  <c r="J103" i="1"/>
  <c r="I103" i="1"/>
  <c r="D103" i="1"/>
  <c r="F103" i="1"/>
  <c r="G103" i="1"/>
  <c r="K103" i="1"/>
  <c r="C103" i="1"/>
  <c r="E103" i="1"/>
  <c r="B103" i="1"/>
  <c r="D124" i="28" l="1"/>
  <c r="C124" i="28"/>
  <c r="G102" i="15"/>
  <c r="G95" i="22" s="1"/>
  <c r="BC103" i="15"/>
  <c r="AN103" i="15"/>
  <c r="AP103" i="15"/>
  <c r="BE103" i="15"/>
  <c r="U103" i="15"/>
  <c r="AA103" i="15"/>
  <c r="BA103" i="15"/>
  <c r="AL103" i="15"/>
  <c r="W103" i="15"/>
  <c r="AY103" i="15"/>
  <c r="AJ103" i="15"/>
  <c r="Q103" i="15"/>
  <c r="Y103" i="15"/>
  <c r="S103" i="15"/>
  <c r="AM103" i="15"/>
  <c r="AQ103" i="15"/>
  <c r="BB103" i="15"/>
  <c r="V103" i="15"/>
  <c r="BD103" i="15"/>
  <c r="BF103" i="15"/>
  <c r="AB103" i="15"/>
  <c r="AO103" i="15"/>
  <c r="X103" i="15"/>
  <c r="AZ103" i="15"/>
  <c r="AK103" i="15"/>
  <c r="Z103" i="15"/>
  <c r="R103" i="15"/>
  <c r="T103" i="15"/>
  <c r="F102" i="15"/>
  <c r="F95" i="22" s="1"/>
  <c r="D102" i="15"/>
  <c r="D95" i="22" s="1"/>
  <c r="E102" i="15"/>
  <c r="E95" i="22" s="1"/>
  <c r="L103" i="8"/>
  <c r="N103" i="8"/>
  <c r="P103" i="8"/>
  <c r="M103" i="8"/>
  <c r="O103" i="8"/>
  <c r="J103" i="8"/>
  <c r="H103" i="8"/>
  <c r="F103" i="8"/>
  <c r="D103" i="8"/>
  <c r="B103" i="8"/>
  <c r="A104" i="8"/>
  <c r="K103" i="8"/>
  <c r="I103" i="8"/>
  <c r="G103" i="8"/>
  <c r="E103" i="8"/>
  <c r="C103" i="8"/>
  <c r="A105" i="1"/>
  <c r="O104" i="1"/>
  <c r="L104" i="1"/>
  <c r="M104" i="1"/>
  <c r="N104" i="1"/>
  <c r="P104" i="1"/>
  <c r="H104" i="1"/>
  <c r="J104" i="1"/>
  <c r="G104" i="1"/>
  <c r="K104" i="1"/>
  <c r="D104" i="1"/>
  <c r="F104" i="1"/>
  <c r="I104" i="1"/>
  <c r="C104" i="1"/>
  <c r="E104" i="1"/>
  <c r="B104" i="1"/>
  <c r="D125" i="28" l="1"/>
  <c r="C125" i="28"/>
  <c r="F103" i="15"/>
  <c r="F96" i="22" s="1"/>
  <c r="BC104" i="15"/>
  <c r="AP104" i="15"/>
  <c r="AL104" i="15"/>
  <c r="AN104" i="15"/>
  <c r="BE104" i="15"/>
  <c r="BA104" i="15"/>
  <c r="U104" i="15"/>
  <c r="AA104" i="15"/>
  <c r="W104" i="15"/>
  <c r="AY104" i="15"/>
  <c r="AJ104" i="15"/>
  <c r="Y104" i="15"/>
  <c r="Q104" i="15"/>
  <c r="S104" i="15"/>
  <c r="BB104" i="15"/>
  <c r="AM104" i="15"/>
  <c r="AO104" i="15"/>
  <c r="AB104" i="15"/>
  <c r="V104" i="15"/>
  <c r="BD104" i="15"/>
  <c r="BF104" i="15"/>
  <c r="AQ104" i="15"/>
  <c r="X104" i="15"/>
  <c r="AZ104" i="15"/>
  <c r="AK104" i="15"/>
  <c r="R104" i="15"/>
  <c r="Z104" i="15"/>
  <c r="T104" i="15"/>
  <c r="D103" i="15"/>
  <c r="D96" i="22" s="1"/>
  <c r="E103" i="15"/>
  <c r="E96" i="22" s="1"/>
  <c r="G103" i="15"/>
  <c r="G96" i="22" s="1"/>
  <c r="L104" i="8"/>
  <c r="N104" i="8"/>
  <c r="P104" i="8"/>
  <c r="M104" i="8"/>
  <c r="O104" i="8"/>
  <c r="J104" i="8"/>
  <c r="H104" i="8"/>
  <c r="F104" i="8"/>
  <c r="D104" i="8"/>
  <c r="B104" i="8"/>
  <c r="A105" i="8"/>
  <c r="K104" i="8"/>
  <c r="I104" i="8"/>
  <c r="G104" i="8"/>
  <c r="E104" i="8"/>
  <c r="C104" i="8"/>
  <c r="A106" i="1"/>
  <c r="M105" i="1"/>
  <c r="O105" i="1"/>
  <c r="L105" i="1"/>
  <c r="N105" i="1"/>
  <c r="P105" i="1"/>
  <c r="H105" i="1"/>
  <c r="J105" i="1"/>
  <c r="I105" i="1"/>
  <c r="D105" i="1"/>
  <c r="F105" i="1"/>
  <c r="G105" i="1"/>
  <c r="K105" i="1"/>
  <c r="C105" i="1"/>
  <c r="E105" i="1"/>
  <c r="B105" i="1"/>
  <c r="D126" i="28" l="1"/>
  <c r="C126" i="28"/>
  <c r="F104" i="15"/>
  <c r="F97" i="22" s="1"/>
  <c r="BC105" i="15"/>
  <c r="AL105" i="15"/>
  <c r="BA105" i="15"/>
  <c r="AP105" i="15"/>
  <c r="AN105" i="15"/>
  <c r="BE105" i="15"/>
  <c r="AA105" i="15"/>
  <c r="U105" i="15"/>
  <c r="W105" i="15"/>
  <c r="AJ105" i="15"/>
  <c r="AY105" i="15"/>
  <c r="Q105" i="15"/>
  <c r="Y105" i="15"/>
  <c r="S105" i="15"/>
  <c r="BD105" i="15"/>
  <c r="AQ105" i="15"/>
  <c r="AM105" i="15"/>
  <c r="BF105" i="15"/>
  <c r="AB105" i="15"/>
  <c r="BB105" i="15"/>
  <c r="V105" i="15"/>
  <c r="AO105" i="15"/>
  <c r="X105" i="15"/>
  <c r="AZ105" i="15"/>
  <c r="AK105" i="15"/>
  <c r="Z105" i="15"/>
  <c r="R105" i="15"/>
  <c r="T105" i="15"/>
  <c r="E104" i="15"/>
  <c r="E97" i="22" s="1"/>
  <c r="D104" i="15"/>
  <c r="D97" i="22" s="1"/>
  <c r="G104" i="15"/>
  <c r="G97" i="22" s="1"/>
  <c r="L105" i="8"/>
  <c r="N105" i="8"/>
  <c r="P105" i="8"/>
  <c r="M105" i="8"/>
  <c r="O105" i="8"/>
  <c r="J105" i="8"/>
  <c r="H105" i="8"/>
  <c r="F105" i="8"/>
  <c r="D105" i="8"/>
  <c r="B105" i="8"/>
  <c r="A106" i="8"/>
  <c r="K105" i="8"/>
  <c r="I105" i="8"/>
  <c r="G105" i="8"/>
  <c r="E105" i="8"/>
  <c r="C105" i="8"/>
  <c r="A107" i="1"/>
  <c r="M106" i="1"/>
  <c r="N106" i="1"/>
  <c r="P106" i="1"/>
  <c r="O106" i="1"/>
  <c r="L106" i="1"/>
  <c r="H106" i="1"/>
  <c r="J106" i="1"/>
  <c r="G106" i="1"/>
  <c r="K106" i="1"/>
  <c r="D106" i="1"/>
  <c r="F106" i="1"/>
  <c r="I106" i="1"/>
  <c r="C106" i="1"/>
  <c r="E106" i="1"/>
  <c r="B106" i="1"/>
  <c r="D127" i="28" l="1"/>
  <c r="C127" i="28"/>
  <c r="D105" i="15"/>
  <c r="D98" i="22" s="1"/>
  <c r="AL106" i="15"/>
  <c r="AN106" i="15"/>
  <c r="AP106" i="15"/>
  <c r="BA106" i="15"/>
  <c r="BE106" i="15"/>
  <c r="BC106" i="15"/>
  <c r="AA106" i="15"/>
  <c r="U106" i="15"/>
  <c r="W106" i="15"/>
  <c r="AJ106" i="15"/>
  <c r="AY106" i="15"/>
  <c r="Y106" i="15"/>
  <c r="Q106" i="15"/>
  <c r="S106" i="15"/>
  <c r="AO106" i="15"/>
  <c r="AM106" i="15"/>
  <c r="BF106" i="15"/>
  <c r="BD106" i="15"/>
  <c r="AQ106" i="15"/>
  <c r="BB106" i="15"/>
  <c r="V106" i="15"/>
  <c r="AB106" i="15"/>
  <c r="X106" i="15"/>
  <c r="AK106" i="15"/>
  <c r="AZ106" i="15"/>
  <c r="Z106" i="15"/>
  <c r="R106" i="15"/>
  <c r="T106" i="15"/>
  <c r="E105" i="15"/>
  <c r="E98" i="22" s="1"/>
  <c r="F105" i="15"/>
  <c r="F98" i="22" s="1"/>
  <c r="G105" i="15"/>
  <c r="G98" i="22" s="1"/>
  <c r="L106" i="8"/>
  <c r="N106" i="8"/>
  <c r="P106" i="8"/>
  <c r="M106" i="8"/>
  <c r="O106" i="8"/>
  <c r="J106" i="8"/>
  <c r="H106" i="8"/>
  <c r="F106" i="8"/>
  <c r="D106" i="8"/>
  <c r="B106" i="8"/>
  <c r="A107" i="8"/>
  <c r="K106" i="8"/>
  <c r="I106" i="8"/>
  <c r="G106" i="8"/>
  <c r="E106" i="8"/>
  <c r="C106" i="8"/>
  <c r="A108" i="1"/>
  <c r="M107" i="1"/>
  <c r="O107" i="1"/>
  <c r="L107" i="1"/>
  <c r="N107" i="1"/>
  <c r="P107" i="1"/>
  <c r="H107" i="1"/>
  <c r="J107" i="1"/>
  <c r="I107" i="1"/>
  <c r="D107" i="1"/>
  <c r="F107" i="1"/>
  <c r="G107" i="1"/>
  <c r="K107" i="1"/>
  <c r="C107" i="1"/>
  <c r="E107" i="1"/>
  <c r="B107" i="1"/>
  <c r="D128" i="28" l="1"/>
  <c r="C128" i="28"/>
  <c r="G106" i="15"/>
  <c r="G99" i="22" s="1"/>
  <c r="BD107" i="15"/>
  <c r="AM107" i="15"/>
  <c r="AO107" i="15"/>
  <c r="AQ107" i="15"/>
  <c r="AB107" i="15"/>
  <c r="BF107" i="15"/>
  <c r="BB107" i="15"/>
  <c r="V107" i="15"/>
  <c r="X107" i="15"/>
  <c r="AZ107" i="15"/>
  <c r="AK107" i="15"/>
  <c r="Z107" i="15"/>
  <c r="R107" i="15"/>
  <c r="T107" i="15"/>
  <c r="F106" i="15"/>
  <c r="F99" i="22" s="1"/>
  <c r="AP107" i="15"/>
  <c r="BC107" i="15"/>
  <c r="AL107" i="15"/>
  <c r="BE107" i="15"/>
  <c r="U107" i="15"/>
  <c r="AN107" i="15"/>
  <c r="AA107" i="15"/>
  <c r="BA107" i="15"/>
  <c r="W107" i="15"/>
  <c r="AY107" i="15"/>
  <c r="F107" i="15" s="1"/>
  <c r="F100" i="22" s="1"/>
  <c r="AJ107" i="15"/>
  <c r="Y107" i="15"/>
  <c r="Q107" i="15"/>
  <c r="S107" i="15"/>
  <c r="D106" i="15"/>
  <c r="D99" i="22" s="1"/>
  <c r="E106" i="15"/>
  <c r="E99" i="22" s="1"/>
  <c r="L107" i="8"/>
  <c r="N107" i="8"/>
  <c r="P107" i="8"/>
  <c r="M107" i="8"/>
  <c r="O107" i="8"/>
  <c r="A108" i="8"/>
  <c r="J107" i="8"/>
  <c r="H107" i="8"/>
  <c r="F107" i="8"/>
  <c r="D107" i="8"/>
  <c r="B107" i="8"/>
  <c r="K107" i="8"/>
  <c r="I107" i="8"/>
  <c r="G107" i="8"/>
  <c r="E107" i="8"/>
  <c r="C107" i="8"/>
  <c r="A109" i="1"/>
  <c r="M108" i="1"/>
  <c r="N108" i="1"/>
  <c r="P108" i="1"/>
  <c r="O108" i="1"/>
  <c r="L108" i="1"/>
  <c r="H108" i="1"/>
  <c r="J108" i="1"/>
  <c r="G108" i="1"/>
  <c r="K108" i="1"/>
  <c r="D108" i="1"/>
  <c r="F108" i="1"/>
  <c r="I108" i="1"/>
  <c r="C108" i="1"/>
  <c r="E108" i="1"/>
  <c r="B108" i="1"/>
  <c r="D129" i="28" l="1"/>
  <c r="C129" i="28"/>
  <c r="G107" i="15"/>
  <c r="G100" i="22" s="1"/>
  <c r="E107" i="15"/>
  <c r="E100" i="22" s="1"/>
  <c r="AP108" i="15"/>
  <c r="BA108" i="15"/>
  <c r="BC108" i="15"/>
  <c r="AA108" i="15"/>
  <c r="AN108" i="15"/>
  <c r="BE108" i="15"/>
  <c r="U108" i="15"/>
  <c r="AL108" i="15"/>
  <c r="W108" i="15"/>
  <c r="AY108" i="15"/>
  <c r="AJ108" i="15"/>
  <c r="Y108" i="15"/>
  <c r="Q108" i="15"/>
  <c r="S108" i="15"/>
  <c r="BD108" i="15"/>
  <c r="AM108" i="15"/>
  <c r="AQ108" i="15"/>
  <c r="BB108" i="15"/>
  <c r="BF108" i="15"/>
  <c r="AO108" i="15"/>
  <c r="AB108" i="15"/>
  <c r="V108" i="15"/>
  <c r="X108" i="15"/>
  <c r="AZ108" i="15"/>
  <c r="AK108" i="15"/>
  <c r="Z108" i="15"/>
  <c r="R108" i="15"/>
  <c r="T108" i="15"/>
  <c r="D107" i="15"/>
  <c r="D100" i="22" s="1"/>
  <c r="L108" i="8"/>
  <c r="N108" i="8"/>
  <c r="P108" i="8"/>
  <c r="M108" i="8"/>
  <c r="O108" i="8"/>
  <c r="J108" i="8"/>
  <c r="H108" i="8"/>
  <c r="F108" i="8"/>
  <c r="D108" i="8"/>
  <c r="B108" i="8"/>
  <c r="I108" i="8"/>
  <c r="E108" i="8"/>
  <c r="A109" i="8"/>
  <c r="K108" i="8"/>
  <c r="G108" i="8"/>
  <c r="C108" i="8"/>
  <c r="A110" i="1"/>
  <c r="M109" i="1"/>
  <c r="O109" i="1"/>
  <c r="L109" i="1"/>
  <c r="N109" i="1"/>
  <c r="P109" i="1"/>
  <c r="H109" i="1"/>
  <c r="J109" i="1"/>
  <c r="I109" i="1"/>
  <c r="D109" i="1"/>
  <c r="F109" i="1"/>
  <c r="G109" i="1"/>
  <c r="K109" i="1"/>
  <c r="C109" i="1"/>
  <c r="E109" i="1"/>
  <c r="B109" i="1"/>
  <c r="D130" i="28" l="1"/>
  <c r="C130" i="28"/>
  <c r="D108" i="15"/>
  <c r="D101" i="22" s="1"/>
  <c r="AL109" i="15"/>
  <c r="BC109" i="15"/>
  <c r="AP109" i="15"/>
  <c r="BA109" i="15"/>
  <c r="AN109" i="15"/>
  <c r="U109" i="15"/>
  <c r="AA109" i="15"/>
  <c r="BE109" i="15"/>
  <c r="W109" i="15"/>
  <c r="AY109" i="15"/>
  <c r="AJ109" i="15"/>
  <c r="Q109" i="15"/>
  <c r="Y109" i="15"/>
  <c r="S109" i="15"/>
  <c r="E108" i="15"/>
  <c r="E101" i="22" s="1"/>
  <c r="AQ109" i="15"/>
  <c r="BD109" i="15"/>
  <c r="AO109" i="15"/>
  <c r="AB109" i="15"/>
  <c r="BB109" i="15"/>
  <c r="V109" i="15"/>
  <c r="AM109" i="15"/>
  <c r="BF109" i="15"/>
  <c r="X109" i="15"/>
  <c r="AZ109" i="15"/>
  <c r="AK109" i="15"/>
  <c r="Z109" i="15"/>
  <c r="R109" i="15"/>
  <c r="T109" i="15"/>
  <c r="G108" i="15"/>
  <c r="G101" i="22" s="1"/>
  <c r="F108" i="15"/>
  <c r="F101" i="22" s="1"/>
  <c r="L109" i="8"/>
  <c r="N109" i="8"/>
  <c r="P109" i="8"/>
  <c r="M109" i="8"/>
  <c r="O109" i="8"/>
  <c r="J109" i="8"/>
  <c r="H109" i="8"/>
  <c r="F109" i="8"/>
  <c r="D109" i="8"/>
  <c r="B109" i="8"/>
  <c r="A110" i="8"/>
  <c r="K109" i="8"/>
  <c r="G109" i="8"/>
  <c r="C109" i="8"/>
  <c r="I109" i="8"/>
  <c r="E109" i="8"/>
  <c r="A111" i="1"/>
  <c r="M110" i="1"/>
  <c r="N110" i="1"/>
  <c r="P110" i="1"/>
  <c r="O110" i="1"/>
  <c r="L110" i="1"/>
  <c r="H110" i="1"/>
  <c r="J110" i="1"/>
  <c r="G110" i="1"/>
  <c r="K110" i="1"/>
  <c r="D110" i="1"/>
  <c r="F110" i="1"/>
  <c r="I110" i="1"/>
  <c r="C110" i="1"/>
  <c r="E110" i="1"/>
  <c r="B110" i="1"/>
  <c r="C131" i="28" l="1"/>
  <c r="D131" i="28"/>
  <c r="E109" i="15"/>
  <c r="E102" i="22" s="1"/>
  <c r="F109" i="15"/>
  <c r="F102" i="22" s="1"/>
  <c r="G109" i="15"/>
  <c r="G102" i="22" s="1"/>
  <c r="AQ110" i="15"/>
  <c r="BF110" i="15"/>
  <c r="AO110" i="15"/>
  <c r="BD110" i="15"/>
  <c r="AB110" i="15"/>
  <c r="BB110" i="15"/>
  <c r="AM110" i="15"/>
  <c r="V110" i="15"/>
  <c r="X110" i="15"/>
  <c r="AZ110" i="15"/>
  <c r="AK110" i="15"/>
  <c r="R110" i="15"/>
  <c r="Z110" i="15"/>
  <c r="T110" i="15"/>
  <c r="D109" i="15"/>
  <c r="D102" i="22" s="1"/>
  <c r="AL110" i="15"/>
  <c r="BC110" i="15"/>
  <c r="BE110" i="15"/>
  <c r="AP110" i="15"/>
  <c r="AN110" i="15"/>
  <c r="BA110" i="15"/>
  <c r="AA110" i="15"/>
  <c r="U110" i="15"/>
  <c r="W110" i="15"/>
  <c r="AJ110" i="15"/>
  <c r="AY110" i="15"/>
  <c r="Y110" i="15"/>
  <c r="Q110" i="15"/>
  <c r="S110" i="15"/>
  <c r="L110" i="8"/>
  <c r="N110" i="8"/>
  <c r="P110" i="8"/>
  <c r="M110" i="8"/>
  <c r="O110" i="8"/>
  <c r="A111" i="8"/>
  <c r="K110" i="8"/>
  <c r="I110" i="8"/>
  <c r="G110" i="8"/>
  <c r="E110" i="8"/>
  <c r="J110" i="8"/>
  <c r="H110" i="8"/>
  <c r="F110" i="8"/>
  <c r="D110" i="8"/>
  <c r="B110" i="8"/>
  <c r="C110" i="8"/>
  <c r="A112" i="1"/>
  <c r="M111" i="1"/>
  <c r="O111" i="1"/>
  <c r="L111" i="1"/>
  <c r="N111" i="1"/>
  <c r="P111" i="1"/>
  <c r="H111" i="1"/>
  <c r="J111" i="1"/>
  <c r="I111" i="1"/>
  <c r="D111" i="1"/>
  <c r="F111" i="1"/>
  <c r="G111" i="1"/>
  <c r="K111" i="1"/>
  <c r="C111" i="1"/>
  <c r="E111" i="1"/>
  <c r="B111" i="1"/>
  <c r="D132" i="28" l="1"/>
  <c r="C132" i="28"/>
  <c r="G110" i="15"/>
  <c r="G103" i="22" s="1"/>
  <c r="D110" i="15"/>
  <c r="D103" i="22" s="1"/>
  <c r="BC111" i="15"/>
  <c r="AN111" i="15"/>
  <c r="BE111" i="15"/>
  <c r="AL111" i="15"/>
  <c r="AP111" i="15"/>
  <c r="BA111" i="15"/>
  <c r="AA111" i="15"/>
  <c r="U111" i="15"/>
  <c r="W111" i="15"/>
  <c r="AY111" i="15"/>
  <c r="AJ111" i="15"/>
  <c r="Q111" i="15"/>
  <c r="Y111" i="15"/>
  <c r="S111" i="15"/>
  <c r="F110" i="15"/>
  <c r="F103" i="22" s="1"/>
  <c r="E110" i="15"/>
  <c r="E103" i="22" s="1"/>
  <c r="AM111" i="15"/>
  <c r="BD111" i="15"/>
  <c r="AO111" i="15"/>
  <c r="AQ111" i="15"/>
  <c r="BB111" i="15"/>
  <c r="BF111" i="15"/>
  <c r="AB111" i="15"/>
  <c r="V111" i="15"/>
  <c r="X111" i="15"/>
  <c r="AK111" i="15"/>
  <c r="AZ111" i="15"/>
  <c r="Z111" i="15"/>
  <c r="R111" i="15"/>
  <c r="T111" i="15"/>
  <c r="L111" i="8"/>
  <c r="N111" i="8"/>
  <c r="P111" i="8"/>
  <c r="M111" i="8"/>
  <c r="O111" i="8"/>
  <c r="A112" i="8"/>
  <c r="K111" i="8"/>
  <c r="I111" i="8"/>
  <c r="G111" i="8"/>
  <c r="E111" i="8"/>
  <c r="C111" i="8"/>
  <c r="J111" i="8"/>
  <c r="H111" i="8"/>
  <c r="F111" i="8"/>
  <c r="D111" i="8"/>
  <c r="B111" i="8"/>
  <c r="A113" i="1"/>
  <c r="M112" i="1"/>
  <c r="N112" i="1"/>
  <c r="P112" i="1"/>
  <c r="O112" i="1"/>
  <c r="L112" i="1"/>
  <c r="H112" i="1"/>
  <c r="J112" i="1"/>
  <c r="G112" i="1"/>
  <c r="K112" i="1"/>
  <c r="D112" i="1"/>
  <c r="F112" i="1"/>
  <c r="I112" i="1"/>
  <c r="C112" i="1"/>
  <c r="E112" i="1"/>
  <c r="B112" i="1"/>
  <c r="D133" i="28" l="1"/>
  <c r="C133" i="28"/>
  <c r="BD112" i="15"/>
  <c r="AM112" i="15"/>
  <c r="BB112" i="15"/>
  <c r="AO112" i="15"/>
  <c r="AQ112" i="15"/>
  <c r="BF112" i="15"/>
  <c r="AB112" i="15"/>
  <c r="V112" i="15"/>
  <c r="X112" i="15"/>
  <c r="AZ112" i="15"/>
  <c r="AK112" i="15"/>
  <c r="R112" i="15"/>
  <c r="Z112" i="15"/>
  <c r="T112" i="15"/>
  <c r="G111" i="15"/>
  <c r="G104" i="22" s="1"/>
  <c r="D111" i="15"/>
  <c r="D104" i="22" s="1"/>
  <c r="BC112" i="15"/>
  <c r="AP112" i="15"/>
  <c r="AL112" i="15"/>
  <c r="BE112" i="15"/>
  <c r="BA112" i="15"/>
  <c r="AN112" i="15"/>
  <c r="AA112" i="15"/>
  <c r="U112" i="15"/>
  <c r="W112" i="15"/>
  <c r="AY112" i="15"/>
  <c r="AJ112" i="15"/>
  <c r="Y112" i="15"/>
  <c r="Q112" i="15"/>
  <c r="S112" i="15"/>
  <c r="E111" i="15"/>
  <c r="E104" i="22" s="1"/>
  <c r="F111" i="15"/>
  <c r="F104" i="22" s="1"/>
  <c r="L112" i="8"/>
  <c r="N112" i="8"/>
  <c r="P112" i="8"/>
  <c r="M112" i="8"/>
  <c r="O112" i="8"/>
  <c r="A113" i="8"/>
  <c r="K112" i="8"/>
  <c r="I112" i="8"/>
  <c r="G112" i="8"/>
  <c r="E112" i="8"/>
  <c r="C112" i="8"/>
  <c r="J112" i="8"/>
  <c r="H112" i="8"/>
  <c r="F112" i="8"/>
  <c r="D112" i="8"/>
  <c r="B112" i="8"/>
  <c r="A114" i="1"/>
  <c r="M113" i="1"/>
  <c r="O113" i="1"/>
  <c r="L113" i="1"/>
  <c r="N113" i="1"/>
  <c r="P113" i="1"/>
  <c r="H113" i="1"/>
  <c r="J113" i="1"/>
  <c r="I113" i="1"/>
  <c r="D113" i="1"/>
  <c r="F113" i="1"/>
  <c r="G113" i="1"/>
  <c r="K113" i="1"/>
  <c r="C113" i="1"/>
  <c r="E113" i="1"/>
  <c r="B113" i="1"/>
  <c r="D134" i="28" l="1"/>
  <c r="C134" i="28"/>
  <c r="G112" i="15"/>
  <c r="D112" i="15"/>
  <c r="E112" i="15"/>
  <c r="BC113" i="15"/>
  <c r="BA113" i="15"/>
  <c r="AL113" i="15"/>
  <c r="BE113" i="15"/>
  <c r="AA113" i="15"/>
  <c r="AP113" i="15"/>
  <c r="AN113" i="15"/>
  <c r="U113" i="15"/>
  <c r="W113" i="15"/>
  <c r="AJ113" i="15"/>
  <c r="AY113" i="15"/>
  <c r="Q113" i="15"/>
  <c r="Y113" i="15"/>
  <c r="S113" i="15"/>
  <c r="BD113" i="15"/>
  <c r="AQ113" i="15"/>
  <c r="AM113" i="15"/>
  <c r="BF113" i="15"/>
  <c r="AO113" i="15"/>
  <c r="BB113" i="15"/>
  <c r="AB113" i="15"/>
  <c r="V113" i="15"/>
  <c r="X113" i="15"/>
  <c r="AK113" i="15"/>
  <c r="AZ113" i="15"/>
  <c r="R113" i="15"/>
  <c r="Z113" i="15"/>
  <c r="T113" i="15"/>
  <c r="F112" i="15"/>
  <c r="L113" i="8"/>
  <c r="N113" i="8"/>
  <c r="P113" i="8"/>
  <c r="M113" i="8"/>
  <c r="O113" i="8"/>
  <c r="A114" i="8"/>
  <c r="K113" i="8"/>
  <c r="I113" i="8"/>
  <c r="G113" i="8"/>
  <c r="E113" i="8"/>
  <c r="C113" i="8"/>
  <c r="J113" i="8"/>
  <c r="H113" i="8"/>
  <c r="F113" i="8"/>
  <c r="D113" i="8"/>
  <c r="B113" i="8"/>
  <c r="A115" i="1"/>
  <c r="M114" i="1"/>
  <c r="N114" i="1"/>
  <c r="P114" i="1"/>
  <c r="O114" i="1"/>
  <c r="L114" i="1"/>
  <c r="H114" i="1"/>
  <c r="J114" i="1"/>
  <c r="G114" i="1"/>
  <c r="K114" i="1"/>
  <c r="D114" i="1"/>
  <c r="F114" i="1"/>
  <c r="I114" i="1"/>
  <c r="C114" i="1"/>
  <c r="E114" i="1"/>
  <c r="B114" i="1"/>
  <c r="D135" i="28" l="1"/>
  <c r="C135" i="28"/>
  <c r="D113" i="15"/>
  <c r="D106" i="22" s="1"/>
  <c r="AL114" i="15"/>
  <c r="AN114" i="15"/>
  <c r="BC114" i="15"/>
  <c r="BA114" i="15"/>
  <c r="BE114" i="15"/>
  <c r="U114" i="15"/>
  <c r="AA114" i="15"/>
  <c r="AP114" i="15"/>
  <c r="W114" i="15"/>
  <c r="AY114" i="15"/>
  <c r="AJ114" i="15"/>
  <c r="Y114" i="15"/>
  <c r="Q114" i="15"/>
  <c r="S114" i="15"/>
  <c r="G227" i="15"/>
  <c r="E105" i="22"/>
  <c r="R21" i="12" s="1"/>
  <c r="E113" i="15"/>
  <c r="E106" i="22" s="1"/>
  <c r="G229" i="15"/>
  <c r="G105" i="22"/>
  <c r="R22" i="12" s="1"/>
  <c r="G226" i="15"/>
  <c r="F235" i="15" s="1"/>
  <c r="D105" i="22"/>
  <c r="BD114" i="15"/>
  <c r="AO114" i="15"/>
  <c r="AM114" i="15"/>
  <c r="BF114" i="15"/>
  <c r="AQ114" i="15"/>
  <c r="AB114" i="15"/>
  <c r="BB114" i="15"/>
  <c r="V114" i="15"/>
  <c r="X114" i="15"/>
  <c r="AZ114" i="15"/>
  <c r="AK114" i="15"/>
  <c r="R114" i="15"/>
  <c r="Z114" i="15"/>
  <c r="T114" i="15"/>
  <c r="G228" i="15"/>
  <c r="F236" i="15" s="1"/>
  <c r="F105" i="22"/>
  <c r="F113" i="15"/>
  <c r="F106" i="22" s="1"/>
  <c r="G113" i="15"/>
  <c r="G106" i="22" s="1"/>
  <c r="L114" i="8"/>
  <c r="N114" i="8"/>
  <c r="P114" i="8"/>
  <c r="M114" i="8"/>
  <c r="O114" i="8"/>
  <c r="A115" i="8"/>
  <c r="K114" i="8"/>
  <c r="I114" i="8"/>
  <c r="G114" i="8"/>
  <c r="E114" i="8"/>
  <c r="C114" i="8"/>
  <c r="J114" i="8"/>
  <c r="H114" i="8"/>
  <c r="F114" i="8"/>
  <c r="D114" i="8"/>
  <c r="B114" i="8"/>
  <c r="A116" i="1"/>
  <c r="M115" i="1"/>
  <c r="O115" i="1"/>
  <c r="L115" i="1"/>
  <c r="N115" i="1"/>
  <c r="P115" i="1"/>
  <c r="H115" i="1"/>
  <c r="J115" i="1"/>
  <c r="I115" i="1"/>
  <c r="D115" i="1"/>
  <c r="F115" i="1"/>
  <c r="G115" i="1"/>
  <c r="K115" i="1"/>
  <c r="C115" i="1"/>
  <c r="E115" i="1"/>
  <c r="B115" i="1"/>
  <c r="D136" i="28" l="1"/>
  <c r="C136" i="28"/>
  <c r="F114" i="15"/>
  <c r="F107" i="22" s="1"/>
  <c r="G114" i="15"/>
  <c r="G107" i="22" s="1"/>
  <c r="D114" i="15"/>
  <c r="D107" i="22" s="1"/>
  <c r="BD115" i="15"/>
  <c r="AM115" i="15"/>
  <c r="BF115" i="15"/>
  <c r="BB115" i="15"/>
  <c r="AQ115" i="15"/>
  <c r="AB115" i="15"/>
  <c r="V115" i="15"/>
  <c r="AO115" i="15"/>
  <c r="X115" i="15"/>
  <c r="AK115" i="15"/>
  <c r="AZ115" i="15"/>
  <c r="R115" i="15"/>
  <c r="Z115" i="15"/>
  <c r="T115" i="15"/>
  <c r="BC115" i="15"/>
  <c r="AP115" i="15"/>
  <c r="AL115" i="15"/>
  <c r="BE115" i="15"/>
  <c r="AN115" i="15"/>
  <c r="U115" i="15"/>
  <c r="BA115" i="15"/>
  <c r="AA115" i="15"/>
  <c r="W115" i="15"/>
  <c r="AY115" i="15"/>
  <c r="AJ115" i="15"/>
  <c r="Q115" i="15"/>
  <c r="Y115" i="15"/>
  <c r="S115" i="15"/>
  <c r="E114" i="15"/>
  <c r="E107" i="22" s="1"/>
  <c r="L115" i="8"/>
  <c r="N115" i="8"/>
  <c r="P115" i="8"/>
  <c r="M115" i="8"/>
  <c r="O115" i="8"/>
  <c r="A116" i="8"/>
  <c r="K115" i="8"/>
  <c r="I115" i="8"/>
  <c r="G115" i="8"/>
  <c r="E115" i="8"/>
  <c r="C115" i="8"/>
  <c r="J115" i="8"/>
  <c r="H115" i="8"/>
  <c r="F115" i="8"/>
  <c r="D115" i="8"/>
  <c r="B115" i="8"/>
  <c r="A117" i="1"/>
  <c r="M116" i="1"/>
  <c r="N116" i="1"/>
  <c r="P116" i="1"/>
  <c r="O116" i="1"/>
  <c r="L116" i="1"/>
  <c r="H116" i="1"/>
  <c r="J116" i="1"/>
  <c r="G116" i="1"/>
  <c r="K116" i="1"/>
  <c r="D116" i="1"/>
  <c r="F116" i="1"/>
  <c r="I116" i="1"/>
  <c r="C116" i="1"/>
  <c r="E116" i="1"/>
  <c r="B116" i="1"/>
  <c r="D137" i="28" l="1"/>
  <c r="C137" i="28"/>
  <c r="G115" i="15"/>
  <c r="G108" i="22" s="1"/>
  <c r="E115" i="15"/>
  <c r="E108" i="22" s="1"/>
  <c r="AP116" i="15"/>
  <c r="BC116" i="15"/>
  <c r="AN116" i="15"/>
  <c r="AL116" i="15"/>
  <c r="BA116" i="15"/>
  <c r="U116" i="15"/>
  <c r="BE116" i="15"/>
  <c r="AA116" i="15"/>
  <c r="W116" i="15"/>
  <c r="AJ116" i="15"/>
  <c r="AY116" i="15"/>
  <c r="Y116" i="15"/>
  <c r="Q116" i="15"/>
  <c r="S116" i="15"/>
  <c r="F115" i="15"/>
  <c r="F108" i="22" s="1"/>
  <c r="AQ116" i="15"/>
  <c r="BB116" i="15"/>
  <c r="BD116" i="15"/>
  <c r="AO116" i="15"/>
  <c r="BF116" i="15"/>
  <c r="AB116" i="15"/>
  <c r="AM116" i="15"/>
  <c r="V116" i="15"/>
  <c r="X116" i="15"/>
  <c r="AZ116" i="15"/>
  <c r="AK116" i="15"/>
  <c r="R116" i="15"/>
  <c r="Z116" i="15"/>
  <c r="T116" i="15"/>
  <c r="D115" i="15"/>
  <c r="D108" i="22" s="1"/>
  <c r="L116" i="8"/>
  <c r="N116" i="8"/>
  <c r="P116" i="8"/>
  <c r="M116" i="8"/>
  <c r="O116" i="8"/>
  <c r="A117" i="8"/>
  <c r="K116" i="8"/>
  <c r="I116" i="8"/>
  <c r="G116" i="8"/>
  <c r="E116" i="8"/>
  <c r="C116" i="8"/>
  <c r="J116" i="8"/>
  <c r="H116" i="8"/>
  <c r="F116" i="8"/>
  <c r="D116" i="8"/>
  <c r="B116" i="8"/>
  <c r="A118" i="1"/>
  <c r="M117" i="1"/>
  <c r="O117" i="1"/>
  <c r="L117" i="1"/>
  <c r="N117" i="1"/>
  <c r="P117" i="1"/>
  <c r="H117" i="1"/>
  <c r="J117" i="1"/>
  <c r="I117" i="1"/>
  <c r="D117" i="1"/>
  <c r="F117" i="1"/>
  <c r="G117" i="1"/>
  <c r="K117" i="1"/>
  <c r="C117" i="1"/>
  <c r="E117" i="1"/>
  <c r="B117" i="1"/>
  <c r="D138" i="28" l="1"/>
  <c r="C138" i="28"/>
  <c r="E116" i="15"/>
  <c r="E109" i="22" s="1"/>
  <c r="G116" i="15"/>
  <c r="G109" i="22" s="1"/>
  <c r="AQ117" i="15"/>
  <c r="AO117" i="15"/>
  <c r="BB117" i="15"/>
  <c r="AB117" i="15"/>
  <c r="AM117" i="15"/>
  <c r="BD117" i="15"/>
  <c r="BF117" i="15"/>
  <c r="V117" i="15"/>
  <c r="X117" i="15"/>
  <c r="AZ117" i="15"/>
  <c r="AK117" i="15"/>
  <c r="Z117" i="15"/>
  <c r="R117" i="15"/>
  <c r="T117" i="15"/>
  <c r="F116" i="15"/>
  <c r="F109" i="22" s="1"/>
  <c r="AL117" i="15"/>
  <c r="BC117" i="15"/>
  <c r="AP117" i="15"/>
  <c r="BA117" i="15"/>
  <c r="AN117" i="15"/>
  <c r="BE117" i="15"/>
  <c r="U117" i="15"/>
  <c r="AA117" i="15"/>
  <c r="W117" i="15"/>
  <c r="AY117" i="15"/>
  <c r="AJ117" i="15"/>
  <c r="Y117" i="15"/>
  <c r="Q117" i="15"/>
  <c r="S117" i="15"/>
  <c r="D116" i="15"/>
  <c r="D109" i="22" s="1"/>
  <c r="L117" i="8"/>
  <c r="N117" i="8"/>
  <c r="P117" i="8"/>
  <c r="M117" i="8"/>
  <c r="O117" i="8"/>
  <c r="A118" i="8"/>
  <c r="K117" i="8"/>
  <c r="I117" i="8"/>
  <c r="G117" i="8"/>
  <c r="E117" i="8"/>
  <c r="C117" i="8"/>
  <c r="J117" i="8"/>
  <c r="H117" i="8"/>
  <c r="F117" i="8"/>
  <c r="D117" i="8"/>
  <c r="B117" i="8"/>
  <c r="A119" i="1"/>
  <c r="M118" i="1"/>
  <c r="N118" i="1"/>
  <c r="P118" i="1"/>
  <c r="O118" i="1"/>
  <c r="L118" i="1"/>
  <c r="H118" i="1"/>
  <c r="J118" i="1"/>
  <c r="G118" i="1"/>
  <c r="K118" i="1"/>
  <c r="D118" i="1"/>
  <c r="F118" i="1"/>
  <c r="I118" i="1"/>
  <c r="C118" i="1"/>
  <c r="E118" i="1"/>
  <c r="B118" i="1"/>
  <c r="D139" i="28" l="1"/>
  <c r="C139" i="28"/>
  <c r="F117" i="15"/>
  <c r="F110" i="22" s="1"/>
  <c r="D117" i="15"/>
  <c r="D110" i="22" s="1"/>
  <c r="G117" i="15"/>
  <c r="G110" i="22" s="1"/>
  <c r="E117" i="15"/>
  <c r="E110" i="22" s="1"/>
  <c r="AQ118" i="15"/>
  <c r="BD118" i="15"/>
  <c r="BF118" i="15"/>
  <c r="AM118" i="15"/>
  <c r="AO118" i="15"/>
  <c r="V118" i="15"/>
  <c r="BB118" i="15"/>
  <c r="AB118" i="15"/>
  <c r="X118" i="15"/>
  <c r="AK118" i="15"/>
  <c r="AZ118" i="15"/>
  <c r="R118" i="15"/>
  <c r="Z118" i="15"/>
  <c r="T118" i="15"/>
  <c r="AL118" i="15"/>
  <c r="BC118" i="15"/>
  <c r="AP118" i="15"/>
  <c r="BA118" i="15"/>
  <c r="AN118" i="15"/>
  <c r="AA118" i="15"/>
  <c r="U118" i="15"/>
  <c r="BE118" i="15"/>
  <c r="W118" i="15"/>
  <c r="AJ118" i="15"/>
  <c r="AY118" i="15"/>
  <c r="Y118" i="15"/>
  <c r="Q118" i="15"/>
  <c r="S118" i="15"/>
  <c r="L118" i="8"/>
  <c r="N118" i="8"/>
  <c r="P118" i="8"/>
  <c r="M118" i="8"/>
  <c r="O118" i="8"/>
  <c r="A119" i="8"/>
  <c r="K118" i="8"/>
  <c r="I118" i="8"/>
  <c r="G118" i="8"/>
  <c r="E118" i="8"/>
  <c r="C118" i="8"/>
  <c r="J118" i="8"/>
  <c r="H118" i="8"/>
  <c r="F118" i="8"/>
  <c r="D118" i="8"/>
  <c r="B118" i="8"/>
  <c r="A120" i="1"/>
  <c r="M119" i="1"/>
  <c r="O119" i="1"/>
  <c r="L119" i="1"/>
  <c r="N119" i="1"/>
  <c r="P119" i="1"/>
  <c r="H119" i="1"/>
  <c r="J119" i="1"/>
  <c r="I119" i="1"/>
  <c r="D119" i="1"/>
  <c r="F119" i="1"/>
  <c r="G119" i="1"/>
  <c r="K119" i="1"/>
  <c r="C119" i="1"/>
  <c r="E119" i="1"/>
  <c r="B119" i="1"/>
  <c r="D140" i="28" l="1"/>
  <c r="C140" i="28"/>
  <c r="G118" i="15"/>
  <c r="G111" i="22" s="1"/>
  <c r="D118" i="15"/>
  <c r="D111" i="22" s="1"/>
  <c r="BC119" i="15"/>
  <c r="AN119" i="15"/>
  <c r="AP119" i="15"/>
  <c r="BE119" i="15"/>
  <c r="AL119" i="15"/>
  <c r="U119" i="15"/>
  <c r="BA119" i="15"/>
  <c r="AA119" i="15"/>
  <c r="W119" i="15"/>
  <c r="AY119" i="15"/>
  <c r="AJ119" i="15"/>
  <c r="Y119" i="15"/>
  <c r="Q119" i="15"/>
  <c r="S119" i="15"/>
  <c r="F118" i="15"/>
  <c r="F111" i="22" s="1"/>
  <c r="E118" i="15"/>
  <c r="E111" i="22" s="1"/>
  <c r="AM119" i="15"/>
  <c r="AQ119" i="15"/>
  <c r="BB119" i="15"/>
  <c r="BD119" i="15"/>
  <c r="BF119" i="15"/>
  <c r="AO119" i="15"/>
  <c r="V119" i="15"/>
  <c r="AB119" i="15"/>
  <c r="X119" i="15"/>
  <c r="AZ119" i="15"/>
  <c r="AK119" i="15"/>
  <c r="R119" i="15"/>
  <c r="Z119" i="15"/>
  <c r="T119" i="15"/>
  <c r="L119" i="8"/>
  <c r="N119" i="8"/>
  <c r="P119" i="8"/>
  <c r="M119" i="8"/>
  <c r="O119" i="8"/>
  <c r="A120" i="8"/>
  <c r="K119" i="8"/>
  <c r="I119" i="8"/>
  <c r="G119" i="8"/>
  <c r="E119" i="8"/>
  <c r="C119" i="8"/>
  <c r="J119" i="8"/>
  <c r="H119" i="8"/>
  <c r="F119" i="8"/>
  <c r="D119" i="8"/>
  <c r="B119" i="8"/>
  <c r="A121" i="1"/>
  <c r="M120" i="1"/>
  <c r="N120" i="1"/>
  <c r="P120" i="1"/>
  <c r="O120" i="1"/>
  <c r="L120" i="1"/>
  <c r="H120" i="1"/>
  <c r="J120" i="1"/>
  <c r="G120" i="1"/>
  <c r="K120" i="1"/>
  <c r="D120" i="1"/>
  <c r="F120" i="1"/>
  <c r="I120" i="1"/>
  <c r="C120" i="1"/>
  <c r="E120" i="1"/>
  <c r="B120" i="1"/>
  <c r="D141" i="28" l="1"/>
  <c r="C141" i="28"/>
  <c r="F119" i="15"/>
  <c r="F112" i="22" s="1"/>
  <c r="E119" i="15"/>
  <c r="E112" i="22" s="1"/>
  <c r="D119" i="15"/>
  <c r="D112" i="22" s="1"/>
  <c r="AM120" i="15"/>
  <c r="BD120" i="15"/>
  <c r="BB120" i="15"/>
  <c r="AO120" i="15"/>
  <c r="AQ120" i="15"/>
  <c r="BF120" i="15"/>
  <c r="AB120" i="15"/>
  <c r="V120" i="15"/>
  <c r="X120" i="15"/>
  <c r="AZ120" i="15"/>
  <c r="AK120" i="15"/>
  <c r="E120" i="15" s="1"/>
  <c r="E113" i="22" s="1"/>
  <c r="R120" i="15"/>
  <c r="Z120" i="15"/>
  <c r="T120" i="15"/>
  <c r="BC120" i="15"/>
  <c r="AP120" i="15"/>
  <c r="AL120" i="15"/>
  <c r="AN120" i="15"/>
  <c r="BE120" i="15"/>
  <c r="AA120" i="15"/>
  <c r="U120" i="15"/>
  <c r="BA120" i="15"/>
  <c r="W120" i="15"/>
  <c r="AJ120" i="15"/>
  <c r="AY120" i="15"/>
  <c r="Y120" i="15"/>
  <c r="Q120" i="15"/>
  <c r="S120" i="15"/>
  <c r="G119" i="15"/>
  <c r="G112" i="22" s="1"/>
  <c r="L120" i="8"/>
  <c r="N120" i="8"/>
  <c r="P120" i="8"/>
  <c r="M120" i="8"/>
  <c r="O120" i="8"/>
  <c r="A121" i="8"/>
  <c r="K120" i="8"/>
  <c r="I120" i="8"/>
  <c r="G120" i="8"/>
  <c r="E120" i="8"/>
  <c r="C120" i="8"/>
  <c r="J120" i="8"/>
  <c r="H120" i="8"/>
  <c r="F120" i="8"/>
  <c r="D120" i="8"/>
  <c r="B120" i="8"/>
  <c r="A122" i="1"/>
  <c r="M121" i="1"/>
  <c r="O121" i="1"/>
  <c r="L121" i="1"/>
  <c r="N121" i="1"/>
  <c r="P121" i="1"/>
  <c r="H121" i="1"/>
  <c r="J121" i="1"/>
  <c r="I121" i="1"/>
  <c r="D121" i="1"/>
  <c r="F121" i="1"/>
  <c r="G121" i="1"/>
  <c r="K121" i="1"/>
  <c r="C121" i="1"/>
  <c r="E121" i="1"/>
  <c r="B121" i="1"/>
  <c r="D142" i="28" l="1"/>
  <c r="C142" i="28"/>
  <c r="G120" i="15"/>
  <c r="G113" i="22" s="1"/>
  <c r="D120" i="15"/>
  <c r="D113" i="22" s="1"/>
  <c r="AL121" i="15"/>
  <c r="BA121" i="15"/>
  <c r="BC121" i="15"/>
  <c r="AP121" i="15"/>
  <c r="AN121" i="15"/>
  <c r="BE121" i="15"/>
  <c r="AA121" i="15"/>
  <c r="U121" i="15"/>
  <c r="W121" i="15"/>
  <c r="AJ121" i="15"/>
  <c r="AY121" i="15"/>
  <c r="Y121" i="15"/>
  <c r="Q121" i="15"/>
  <c r="S121" i="15"/>
  <c r="BD121" i="15"/>
  <c r="AQ121" i="15"/>
  <c r="AM121" i="15"/>
  <c r="BF121" i="15"/>
  <c r="AB121" i="15"/>
  <c r="AO121" i="15"/>
  <c r="V121" i="15"/>
  <c r="BB121" i="15"/>
  <c r="X121" i="15"/>
  <c r="AZ121" i="15"/>
  <c r="AK121" i="15"/>
  <c r="Z121" i="15"/>
  <c r="R121" i="15"/>
  <c r="T121" i="15"/>
  <c r="F120" i="15"/>
  <c r="F113" i="22" s="1"/>
  <c r="L121" i="8"/>
  <c r="N121" i="8"/>
  <c r="P121" i="8"/>
  <c r="M121" i="8"/>
  <c r="O121" i="8"/>
  <c r="A122" i="8"/>
  <c r="K121" i="8"/>
  <c r="I121" i="8"/>
  <c r="G121" i="8"/>
  <c r="E121" i="8"/>
  <c r="C121" i="8"/>
  <c r="J121" i="8"/>
  <c r="H121" i="8"/>
  <c r="F121" i="8"/>
  <c r="D121" i="8"/>
  <c r="B121" i="8"/>
  <c r="A123" i="1"/>
  <c r="M122" i="1"/>
  <c r="N122" i="1"/>
  <c r="P122" i="1"/>
  <c r="O122" i="1"/>
  <c r="L122" i="1"/>
  <c r="H122" i="1"/>
  <c r="J122" i="1"/>
  <c r="G122" i="1"/>
  <c r="K122" i="1"/>
  <c r="D122" i="1"/>
  <c r="F122" i="1"/>
  <c r="I122" i="1"/>
  <c r="C122" i="1"/>
  <c r="E122" i="1"/>
  <c r="B122" i="1"/>
  <c r="D143" i="28" l="1"/>
  <c r="C143" i="28"/>
  <c r="G121" i="15"/>
  <c r="G114" i="22" s="1"/>
  <c r="BD122" i="15"/>
  <c r="AO122" i="15"/>
  <c r="AM122" i="15"/>
  <c r="BF122" i="15"/>
  <c r="AQ122" i="15"/>
  <c r="BB122" i="15"/>
  <c r="V122" i="15"/>
  <c r="AB122" i="15"/>
  <c r="X122" i="15"/>
  <c r="AK122" i="15"/>
  <c r="AZ122" i="15"/>
  <c r="Z122" i="15"/>
  <c r="R122" i="15"/>
  <c r="T122" i="15"/>
  <c r="AL122" i="15"/>
  <c r="BC122" i="15"/>
  <c r="AP122" i="15"/>
  <c r="BA122" i="15"/>
  <c r="AA122" i="15"/>
  <c r="U122" i="15"/>
  <c r="AN122" i="15"/>
  <c r="BE122" i="15"/>
  <c r="W122" i="15"/>
  <c r="AJ122" i="15"/>
  <c r="AY122" i="15"/>
  <c r="Q122" i="15"/>
  <c r="Y122" i="15"/>
  <c r="S122" i="15"/>
  <c r="E121" i="15"/>
  <c r="E114" i="22" s="1"/>
  <c r="D121" i="15"/>
  <c r="D114" i="22" s="1"/>
  <c r="F121" i="15"/>
  <c r="F114" i="22" s="1"/>
  <c r="L122" i="8"/>
  <c r="N122" i="8"/>
  <c r="P122" i="8"/>
  <c r="M122" i="8"/>
  <c r="O122" i="8"/>
  <c r="A123" i="8"/>
  <c r="K122" i="8"/>
  <c r="I122" i="8"/>
  <c r="G122" i="8"/>
  <c r="E122" i="8"/>
  <c r="C122" i="8"/>
  <c r="J122" i="8"/>
  <c r="H122" i="8"/>
  <c r="F122" i="8"/>
  <c r="D122" i="8"/>
  <c r="B122" i="8"/>
  <c r="A124" i="1"/>
  <c r="M123" i="1"/>
  <c r="O123" i="1"/>
  <c r="L123" i="1"/>
  <c r="N123" i="1"/>
  <c r="P123" i="1"/>
  <c r="H123" i="1"/>
  <c r="J123" i="1"/>
  <c r="I123" i="1"/>
  <c r="D123" i="1"/>
  <c r="F123" i="1"/>
  <c r="G123" i="1"/>
  <c r="K123" i="1"/>
  <c r="C123" i="1"/>
  <c r="E123" i="1"/>
  <c r="B123" i="1"/>
  <c r="D144" i="28" l="1"/>
  <c r="C144" i="28"/>
  <c r="F122" i="15"/>
  <c r="F115" i="22" s="1"/>
  <c r="BD123" i="15"/>
  <c r="AM123" i="15"/>
  <c r="AO123" i="15"/>
  <c r="AQ123" i="15"/>
  <c r="BB123" i="15"/>
  <c r="BF123" i="15"/>
  <c r="V123" i="15"/>
  <c r="AB123" i="15"/>
  <c r="X123" i="15"/>
  <c r="AK123" i="15"/>
  <c r="AZ123" i="15"/>
  <c r="R123" i="15"/>
  <c r="Z123" i="15"/>
  <c r="T123" i="15"/>
  <c r="G122" i="15"/>
  <c r="G115" i="22" s="1"/>
  <c r="AP123" i="15"/>
  <c r="AL123" i="15"/>
  <c r="BE123" i="15"/>
  <c r="BA123" i="15"/>
  <c r="U123" i="15"/>
  <c r="AN123" i="15"/>
  <c r="AA123" i="15"/>
  <c r="BC123" i="15"/>
  <c r="W123" i="15"/>
  <c r="AY123" i="15"/>
  <c r="AJ123" i="15"/>
  <c r="Y123" i="15"/>
  <c r="Q123" i="15"/>
  <c r="S123" i="15"/>
  <c r="E122" i="15"/>
  <c r="E115" i="22" s="1"/>
  <c r="D122" i="15"/>
  <c r="D115" i="22" s="1"/>
  <c r="L123" i="8"/>
  <c r="N123" i="8"/>
  <c r="P123" i="8"/>
  <c r="M123" i="8"/>
  <c r="O123" i="8"/>
  <c r="A124" i="8"/>
  <c r="K123" i="8"/>
  <c r="I123" i="8"/>
  <c r="G123" i="8"/>
  <c r="E123" i="8"/>
  <c r="C123" i="8"/>
  <c r="J123" i="8"/>
  <c r="H123" i="8"/>
  <c r="F123" i="8"/>
  <c r="D123" i="8"/>
  <c r="B123" i="8"/>
  <c r="A125" i="1"/>
  <c r="M124" i="1"/>
  <c r="N124" i="1"/>
  <c r="P124" i="1"/>
  <c r="O124" i="1"/>
  <c r="L124" i="1"/>
  <c r="H124" i="1"/>
  <c r="J124" i="1"/>
  <c r="D124" i="1"/>
  <c r="F124" i="1"/>
  <c r="G124" i="1"/>
  <c r="I124" i="1"/>
  <c r="K124" i="1"/>
  <c r="C124" i="1"/>
  <c r="E124" i="1"/>
  <c r="B124" i="1"/>
  <c r="D145" i="28" l="1"/>
  <c r="C145" i="28"/>
  <c r="E123" i="15"/>
  <c r="E116" i="22" s="1"/>
  <c r="F123" i="15"/>
  <c r="F116" i="22" s="1"/>
  <c r="D123" i="15"/>
  <c r="D116" i="22" s="1"/>
  <c r="G123" i="15"/>
  <c r="G116" i="22" s="1"/>
  <c r="BD124" i="15"/>
  <c r="AQ124" i="15"/>
  <c r="BB124" i="15"/>
  <c r="AM124" i="15"/>
  <c r="BF124" i="15"/>
  <c r="AB124" i="15"/>
  <c r="V124" i="15"/>
  <c r="AO124" i="15"/>
  <c r="X124" i="15"/>
  <c r="AK124" i="15"/>
  <c r="AZ124" i="15"/>
  <c r="Z124" i="15"/>
  <c r="R124" i="15"/>
  <c r="T124" i="15"/>
  <c r="AP124" i="15"/>
  <c r="BA124" i="15"/>
  <c r="AN124" i="15"/>
  <c r="AA124" i="15"/>
  <c r="U124" i="15"/>
  <c r="BE124" i="15"/>
  <c r="BC124" i="15"/>
  <c r="AL124" i="15"/>
  <c r="W124" i="15"/>
  <c r="AY124" i="15"/>
  <c r="AJ124" i="15"/>
  <c r="Y124" i="15"/>
  <c r="Q124" i="15"/>
  <c r="S124" i="15"/>
  <c r="L124" i="8"/>
  <c r="N124" i="8"/>
  <c r="P124" i="8"/>
  <c r="M124" i="8"/>
  <c r="O124" i="8"/>
  <c r="A125" i="8"/>
  <c r="K124" i="8"/>
  <c r="I124" i="8"/>
  <c r="G124" i="8"/>
  <c r="E124" i="8"/>
  <c r="C124" i="8"/>
  <c r="J124" i="8"/>
  <c r="H124" i="8"/>
  <c r="F124" i="8"/>
  <c r="D124" i="8"/>
  <c r="B124" i="8"/>
  <c r="A126" i="1"/>
  <c r="M125" i="1"/>
  <c r="O125" i="1"/>
  <c r="L125" i="1"/>
  <c r="N125" i="1"/>
  <c r="P125" i="1"/>
  <c r="H125" i="1"/>
  <c r="J125" i="1"/>
  <c r="D125" i="1"/>
  <c r="F125" i="1"/>
  <c r="G125" i="1"/>
  <c r="I125" i="1"/>
  <c r="K125" i="1"/>
  <c r="C125" i="1"/>
  <c r="E125" i="1"/>
  <c r="B125" i="1"/>
  <c r="C146" i="28" l="1"/>
  <c r="D146" i="28"/>
  <c r="F124" i="15"/>
  <c r="F117" i="22" s="1"/>
  <c r="G124" i="15"/>
  <c r="G117" i="22" s="1"/>
  <c r="AQ125" i="15"/>
  <c r="AO125" i="15"/>
  <c r="BD125" i="15"/>
  <c r="AM125" i="15"/>
  <c r="BF125" i="15"/>
  <c r="BB125" i="15"/>
  <c r="AB125" i="15"/>
  <c r="V125" i="15"/>
  <c r="X125" i="15"/>
  <c r="AZ125" i="15"/>
  <c r="AK125" i="15"/>
  <c r="Z125" i="15"/>
  <c r="R125" i="15"/>
  <c r="T125" i="15"/>
  <c r="AL125" i="15"/>
  <c r="BC125" i="15"/>
  <c r="AP125" i="15"/>
  <c r="BA125" i="15"/>
  <c r="AN125" i="15"/>
  <c r="U125" i="15"/>
  <c r="BE125" i="15"/>
  <c r="AA125" i="15"/>
  <c r="W125" i="15"/>
  <c r="AY125" i="15"/>
  <c r="AJ125" i="15"/>
  <c r="Q125" i="15"/>
  <c r="Y125" i="15"/>
  <c r="S125" i="15"/>
  <c r="D124" i="15"/>
  <c r="D117" i="22" s="1"/>
  <c r="E124" i="15"/>
  <c r="E117" i="22" s="1"/>
  <c r="L125" i="8"/>
  <c r="N125" i="8"/>
  <c r="P125" i="8"/>
  <c r="M125" i="8"/>
  <c r="O125" i="8"/>
  <c r="A126" i="8"/>
  <c r="K125" i="8"/>
  <c r="I125" i="8"/>
  <c r="G125" i="8"/>
  <c r="E125" i="8"/>
  <c r="C125" i="8"/>
  <c r="J125" i="8"/>
  <c r="H125" i="8"/>
  <c r="F125" i="8"/>
  <c r="D125" i="8"/>
  <c r="B125" i="8"/>
  <c r="A127" i="1"/>
  <c r="M126" i="1"/>
  <c r="N126" i="1"/>
  <c r="P126" i="1"/>
  <c r="O126" i="1"/>
  <c r="L126" i="1"/>
  <c r="H126" i="1"/>
  <c r="J126" i="1"/>
  <c r="D126" i="1"/>
  <c r="F126" i="1"/>
  <c r="G126" i="1"/>
  <c r="I126" i="1"/>
  <c r="K126" i="1"/>
  <c r="C126" i="1"/>
  <c r="E126" i="1"/>
  <c r="B126" i="1"/>
  <c r="C147" i="28" l="1"/>
  <c r="D147" i="28"/>
  <c r="D125" i="15"/>
  <c r="D118" i="22" s="1"/>
  <c r="AL126" i="15"/>
  <c r="BC126" i="15"/>
  <c r="BE126" i="15"/>
  <c r="AP126" i="15"/>
  <c r="AN126" i="15"/>
  <c r="BA126" i="15"/>
  <c r="U126" i="15"/>
  <c r="AA126" i="15"/>
  <c r="W126" i="15"/>
  <c r="AJ126" i="15"/>
  <c r="AY126" i="15"/>
  <c r="Y126" i="15"/>
  <c r="Q126" i="15"/>
  <c r="S126" i="15"/>
  <c r="G125" i="15"/>
  <c r="G118" i="22" s="1"/>
  <c r="E125" i="15"/>
  <c r="E118" i="22" s="1"/>
  <c r="AQ126" i="15"/>
  <c r="BF126" i="15"/>
  <c r="BD126" i="15"/>
  <c r="AO126" i="15"/>
  <c r="AM126" i="15"/>
  <c r="V126" i="15"/>
  <c r="AB126" i="15"/>
  <c r="BB126" i="15"/>
  <c r="X126" i="15"/>
  <c r="AZ126" i="15"/>
  <c r="AK126" i="15"/>
  <c r="Z126" i="15"/>
  <c r="R126" i="15"/>
  <c r="T126" i="15"/>
  <c r="F125" i="15"/>
  <c r="F118" i="22" s="1"/>
  <c r="L126" i="8"/>
  <c r="N126" i="8"/>
  <c r="P126" i="8"/>
  <c r="M126" i="8"/>
  <c r="O126" i="8"/>
  <c r="A127" i="8"/>
  <c r="K126" i="8"/>
  <c r="I126" i="8"/>
  <c r="G126" i="8"/>
  <c r="E126" i="8"/>
  <c r="C126" i="8"/>
  <c r="J126" i="8"/>
  <c r="H126" i="8"/>
  <c r="F126" i="8"/>
  <c r="D126" i="8"/>
  <c r="B126" i="8"/>
  <c r="A128" i="1"/>
  <c r="M127" i="1"/>
  <c r="O127" i="1"/>
  <c r="L127" i="1"/>
  <c r="N127" i="1"/>
  <c r="P127" i="1"/>
  <c r="H127" i="1"/>
  <c r="J127" i="1"/>
  <c r="D127" i="1"/>
  <c r="F127" i="1"/>
  <c r="G127" i="1"/>
  <c r="I127" i="1"/>
  <c r="K127" i="1"/>
  <c r="C127" i="1"/>
  <c r="E127" i="1"/>
  <c r="B127" i="1"/>
  <c r="D148" i="28" l="1"/>
  <c r="C148" i="28"/>
  <c r="G126" i="15"/>
  <c r="G119" i="22" s="1"/>
  <c r="E126" i="15"/>
  <c r="E119" i="22" s="1"/>
  <c r="D126" i="15"/>
  <c r="D119" i="22" s="1"/>
  <c r="AM127" i="15"/>
  <c r="BD127" i="15"/>
  <c r="AO127" i="15"/>
  <c r="AQ127" i="15"/>
  <c r="BB127" i="15"/>
  <c r="BF127" i="15"/>
  <c r="AB127" i="15"/>
  <c r="V127" i="15"/>
  <c r="X127" i="15"/>
  <c r="AK127" i="15"/>
  <c r="AZ127" i="15"/>
  <c r="Z127" i="15"/>
  <c r="R127" i="15"/>
  <c r="T127" i="15"/>
  <c r="AN127" i="15"/>
  <c r="BE127" i="15"/>
  <c r="BC127" i="15"/>
  <c r="AP127" i="15"/>
  <c r="AL127" i="15"/>
  <c r="AA127" i="15"/>
  <c r="U127" i="15"/>
  <c r="BA127" i="15"/>
  <c r="W127" i="15"/>
  <c r="AY127" i="15"/>
  <c r="AJ127" i="15"/>
  <c r="Y127" i="15"/>
  <c r="Q127" i="15"/>
  <c r="S127" i="15"/>
  <c r="F126" i="15"/>
  <c r="F119" i="22" s="1"/>
  <c r="L127" i="8"/>
  <c r="N127" i="8"/>
  <c r="P127" i="8"/>
  <c r="M127" i="8"/>
  <c r="O127" i="8"/>
  <c r="A128" i="8"/>
  <c r="K127" i="8"/>
  <c r="I127" i="8"/>
  <c r="G127" i="8"/>
  <c r="E127" i="8"/>
  <c r="C127" i="8"/>
  <c r="J127" i="8"/>
  <c r="H127" i="8"/>
  <c r="F127" i="8"/>
  <c r="D127" i="8"/>
  <c r="B127" i="8"/>
  <c r="A129" i="1"/>
  <c r="M128" i="1"/>
  <c r="N128" i="1"/>
  <c r="P128" i="1"/>
  <c r="O128" i="1"/>
  <c r="L128" i="1"/>
  <c r="H128" i="1"/>
  <c r="J128" i="1"/>
  <c r="D128" i="1"/>
  <c r="F128" i="1"/>
  <c r="G128" i="1"/>
  <c r="I128" i="1"/>
  <c r="K128" i="1"/>
  <c r="C128" i="1"/>
  <c r="E128" i="1"/>
  <c r="B128" i="1"/>
  <c r="D149" i="28" l="1"/>
  <c r="C149" i="28"/>
  <c r="E127" i="15"/>
  <c r="E120" i="22" s="1"/>
  <c r="BC128" i="15"/>
  <c r="AP128" i="15"/>
  <c r="AL128" i="15"/>
  <c r="BE128" i="15"/>
  <c r="AN128" i="15"/>
  <c r="BA128" i="15"/>
  <c r="U128" i="15"/>
  <c r="AA128" i="15"/>
  <c r="W128" i="15"/>
  <c r="AY128" i="15"/>
  <c r="AJ128" i="15"/>
  <c r="Q128" i="15"/>
  <c r="Y128" i="15"/>
  <c r="S128" i="15"/>
  <c r="BD128" i="15"/>
  <c r="BB128" i="15"/>
  <c r="AM128" i="15"/>
  <c r="AO128" i="15"/>
  <c r="AQ128" i="15"/>
  <c r="AB128" i="15"/>
  <c r="V128" i="15"/>
  <c r="BF128" i="15"/>
  <c r="X128" i="15"/>
  <c r="AK128" i="15"/>
  <c r="AZ128" i="15"/>
  <c r="Z128" i="15"/>
  <c r="R128" i="15"/>
  <c r="T128" i="15"/>
  <c r="G127" i="15"/>
  <c r="G120" i="22" s="1"/>
  <c r="D127" i="15"/>
  <c r="D120" i="22" s="1"/>
  <c r="F127" i="15"/>
  <c r="F120" i="22" s="1"/>
  <c r="L128" i="8"/>
  <c r="N128" i="8"/>
  <c r="P128" i="8"/>
  <c r="M128" i="8"/>
  <c r="O128" i="8"/>
  <c r="A129" i="8"/>
  <c r="K128" i="8"/>
  <c r="I128" i="8"/>
  <c r="G128" i="8"/>
  <c r="E128" i="8"/>
  <c r="C128" i="8"/>
  <c r="J128" i="8"/>
  <c r="H128" i="8"/>
  <c r="F128" i="8"/>
  <c r="D128" i="8"/>
  <c r="B128" i="8"/>
  <c r="A130" i="1"/>
  <c r="M129" i="1"/>
  <c r="O129" i="1"/>
  <c r="L129" i="1"/>
  <c r="N129" i="1"/>
  <c r="P129" i="1"/>
  <c r="H129" i="1"/>
  <c r="J129" i="1"/>
  <c r="D129" i="1"/>
  <c r="F129" i="1"/>
  <c r="G129" i="1"/>
  <c r="I129" i="1"/>
  <c r="K129" i="1"/>
  <c r="C129" i="1"/>
  <c r="E129" i="1"/>
  <c r="B129" i="1"/>
  <c r="D150" i="28" l="1"/>
  <c r="C150" i="28"/>
  <c r="F128" i="15"/>
  <c r="F121" i="22" s="1"/>
  <c r="G128" i="15"/>
  <c r="G121" i="22" s="1"/>
  <c r="AM129" i="15"/>
  <c r="BD129" i="15"/>
  <c r="AQ129" i="15"/>
  <c r="BF129" i="15"/>
  <c r="AO129" i="15"/>
  <c r="V129" i="15"/>
  <c r="AB129" i="15"/>
  <c r="BB129" i="15"/>
  <c r="X129" i="15"/>
  <c r="AK129" i="15"/>
  <c r="AZ129" i="15"/>
  <c r="R129" i="15"/>
  <c r="Z129" i="15"/>
  <c r="T129" i="15"/>
  <c r="BC129" i="15"/>
  <c r="BA129" i="15"/>
  <c r="BE129" i="15"/>
  <c r="AN129" i="15"/>
  <c r="AP129" i="15"/>
  <c r="U129" i="15"/>
  <c r="AA129" i="15"/>
  <c r="AL129" i="15"/>
  <c r="W129" i="15"/>
  <c r="AJ129" i="15"/>
  <c r="AY129" i="15"/>
  <c r="Q129" i="15"/>
  <c r="Y129" i="15"/>
  <c r="S129" i="15"/>
  <c r="D128" i="15"/>
  <c r="D121" i="22" s="1"/>
  <c r="E128" i="15"/>
  <c r="E121" i="22" s="1"/>
  <c r="L129" i="8"/>
  <c r="N129" i="8"/>
  <c r="P129" i="8"/>
  <c r="M129" i="8"/>
  <c r="O129" i="8"/>
  <c r="A130" i="8"/>
  <c r="K129" i="8"/>
  <c r="I129" i="8"/>
  <c r="G129" i="8"/>
  <c r="E129" i="8"/>
  <c r="C129" i="8"/>
  <c r="J129" i="8"/>
  <c r="H129" i="8"/>
  <c r="F129" i="8"/>
  <c r="D129" i="8"/>
  <c r="B129" i="8"/>
  <c r="A131" i="1"/>
  <c r="M130" i="1"/>
  <c r="N130" i="1"/>
  <c r="P130" i="1"/>
  <c r="O130" i="1"/>
  <c r="L130" i="1"/>
  <c r="H130" i="1"/>
  <c r="J130" i="1"/>
  <c r="D130" i="1"/>
  <c r="F130" i="1"/>
  <c r="G130" i="1"/>
  <c r="I130" i="1"/>
  <c r="K130" i="1"/>
  <c r="C130" i="1"/>
  <c r="E130" i="1"/>
  <c r="B130" i="1"/>
  <c r="D151" i="28" l="1"/>
  <c r="C151" i="28"/>
  <c r="D129" i="15"/>
  <c r="D122" i="22" s="1"/>
  <c r="AQ130" i="15"/>
  <c r="AO130" i="15"/>
  <c r="BD130" i="15"/>
  <c r="AM130" i="15"/>
  <c r="BF130" i="15"/>
  <c r="AB130" i="15"/>
  <c r="BB130" i="15"/>
  <c r="V130" i="15"/>
  <c r="X130" i="15"/>
  <c r="AZ130" i="15"/>
  <c r="AK130" i="15"/>
  <c r="Z130" i="15"/>
  <c r="R130" i="15"/>
  <c r="T130" i="15"/>
  <c r="F129" i="15"/>
  <c r="F122" i="22" s="1"/>
  <c r="E129" i="15"/>
  <c r="E122" i="22" s="1"/>
  <c r="AL130" i="15"/>
  <c r="AN130" i="15"/>
  <c r="BC130" i="15"/>
  <c r="BE130" i="15"/>
  <c r="AP130" i="15"/>
  <c r="U130" i="15"/>
  <c r="BA130" i="15"/>
  <c r="AA130" i="15"/>
  <c r="W130" i="15"/>
  <c r="AY130" i="15"/>
  <c r="AJ130" i="15"/>
  <c r="Q130" i="15"/>
  <c r="Y130" i="15"/>
  <c r="S130" i="15"/>
  <c r="G129" i="15"/>
  <c r="G122" i="22" s="1"/>
  <c r="L130" i="8"/>
  <c r="N130" i="8"/>
  <c r="P130" i="8"/>
  <c r="M130" i="8"/>
  <c r="O130" i="8"/>
  <c r="A131" i="8"/>
  <c r="K130" i="8"/>
  <c r="I130" i="8"/>
  <c r="G130" i="8"/>
  <c r="E130" i="8"/>
  <c r="C130" i="8"/>
  <c r="J130" i="8"/>
  <c r="H130" i="8"/>
  <c r="F130" i="8"/>
  <c r="D130" i="8"/>
  <c r="B130" i="8"/>
  <c r="A132" i="1"/>
  <c r="M131" i="1"/>
  <c r="O131" i="1"/>
  <c r="L131" i="1"/>
  <c r="N131" i="1"/>
  <c r="P131" i="1"/>
  <c r="H131" i="1"/>
  <c r="J131" i="1"/>
  <c r="D131" i="1"/>
  <c r="F131" i="1"/>
  <c r="G131" i="1"/>
  <c r="I131" i="1"/>
  <c r="K131" i="1"/>
  <c r="C131" i="1"/>
  <c r="E131" i="1"/>
  <c r="B131" i="1"/>
  <c r="D152" i="28" l="1"/>
  <c r="C152" i="28"/>
  <c r="F130" i="15"/>
  <c r="F123" i="22" s="1"/>
  <c r="G130" i="15"/>
  <c r="G123" i="22" s="1"/>
  <c r="D130" i="15"/>
  <c r="D123" i="22" s="1"/>
  <c r="E130" i="15"/>
  <c r="E123" i="22" s="1"/>
  <c r="BD131" i="15"/>
  <c r="AQ131" i="15"/>
  <c r="AM131" i="15"/>
  <c r="BF131" i="15"/>
  <c r="AO131" i="15"/>
  <c r="BB131" i="15"/>
  <c r="AB131" i="15"/>
  <c r="V131" i="15"/>
  <c r="X131" i="15"/>
  <c r="AZ131" i="15"/>
  <c r="AK131" i="15"/>
  <c r="Z131" i="15"/>
  <c r="R131" i="15"/>
  <c r="T131" i="15"/>
  <c r="BC131" i="15"/>
  <c r="AP131" i="15"/>
  <c r="AL131" i="15"/>
  <c r="BE131" i="15"/>
  <c r="AN131" i="15"/>
  <c r="AA131" i="15"/>
  <c r="BA131" i="15"/>
  <c r="U131" i="15"/>
  <c r="W131" i="15"/>
  <c r="AY131" i="15"/>
  <c r="AJ131" i="15"/>
  <c r="Q131" i="15"/>
  <c r="Y131" i="15"/>
  <c r="S131" i="15"/>
  <c r="L131" i="8"/>
  <c r="N131" i="8"/>
  <c r="P131" i="8"/>
  <c r="M131" i="8"/>
  <c r="O131" i="8"/>
  <c r="A132" i="8"/>
  <c r="K131" i="8"/>
  <c r="I131" i="8"/>
  <c r="G131" i="8"/>
  <c r="E131" i="8"/>
  <c r="C131" i="8"/>
  <c r="J131" i="8"/>
  <c r="H131" i="8"/>
  <c r="F131" i="8"/>
  <c r="D131" i="8"/>
  <c r="B131" i="8"/>
  <c r="A133" i="1"/>
  <c r="M132" i="1"/>
  <c r="N132" i="1"/>
  <c r="P132" i="1"/>
  <c r="O132" i="1"/>
  <c r="L132" i="1"/>
  <c r="H132" i="1"/>
  <c r="J132" i="1"/>
  <c r="D132" i="1"/>
  <c r="F132" i="1"/>
  <c r="G132" i="1"/>
  <c r="I132" i="1"/>
  <c r="K132" i="1"/>
  <c r="C132" i="1"/>
  <c r="E132" i="1"/>
  <c r="B132" i="1"/>
  <c r="D153" i="28" l="1"/>
  <c r="C153" i="28"/>
  <c r="G131" i="15"/>
  <c r="G124" i="22" s="1"/>
  <c r="F131" i="15"/>
  <c r="F124" i="22" s="1"/>
  <c r="AQ132" i="15"/>
  <c r="AM132" i="15"/>
  <c r="BB132" i="15"/>
  <c r="AO132" i="15"/>
  <c r="BF132" i="15"/>
  <c r="V132" i="15"/>
  <c r="BD132" i="15"/>
  <c r="AB132" i="15"/>
  <c r="X132" i="15"/>
  <c r="AK132" i="15"/>
  <c r="AZ132" i="15"/>
  <c r="Z132" i="15"/>
  <c r="R132" i="15"/>
  <c r="T132" i="15"/>
  <c r="AP132" i="15"/>
  <c r="BC132" i="15"/>
  <c r="AN132" i="15"/>
  <c r="AL132" i="15"/>
  <c r="BE132" i="15"/>
  <c r="BA132" i="15"/>
  <c r="AA132" i="15"/>
  <c r="U132" i="15"/>
  <c r="W132" i="15"/>
  <c r="AY132" i="15"/>
  <c r="AJ132" i="15"/>
  <c r="Q132" i="15"/>
  <c r="Y132" i="15"/>
  <c r="S132" i="15"/>
  <c r="E131" i="15"/>
  <c r="E124" i="22" s="1"/>
  <c r="D131" i="15"/>
  <c r="D124" i="22" s="1"/>
  <c r="L132" i="8"/>
  <c r="N132" i="8"/>
  <c r="P132" i="8"/>
  <c r="M132" i="8"/>
  <c r="O132" i="8"/>
  <c r="A133" i="8"/>
  <c r="K132" i="8"/>
  <c r="I132" i="8"/>
  <c r="G132" i="8"/>
  <c r="E132" i="8"/>
  <c r="C132" i="8"/>
  <c r="J132" i="8"/>
  <c r="H132" i="8"/>
  <c r="F132" i="8"/>
  <c r="D132" i="8"/>
  <c r="B132" i="8"/>
  <c r="A134" i="1"/>
  <c r="M133" i="1"/>
  <c r="O133" i="1"/>
  <c r="L133" i="1"/>
  <c r="N133" i="1"/>
  <c r="P133" i="1"/>
  <c r="H133" i="1"/>
  <c r="J133" i="1"/>
  <c r="D133" i="1"/>
  <c r="F133" i="1"/>
  <c r="G133" i="1"/>
  <c r="I133" i="1"/>
  <c r="K133" i="1"/>
  <c r="C133" i="1"/>
  <c r="E133" i="1"/>
  <c r="B133" i="1"/>
  <c r="D154" i="28" l="1"/>
  <c r="C154" i="28"/>
  <c r="F132" i="15"/>
  <c r="F125" i="22" s="1"/>
  <c r="D132" i="15"/>
  <c r="D125" i="22" s="1"/>
  <c r="BB133" i="15"/>
  <c r="AB133" i="15"/>
  <c r="AQ133" i="15"/>
  <c r="BD133" i="15"/>
  <c r="AO133" i="15"/>
  <c r="BF133" i="15"/>
  <c r="V133" i="15"/>
  <c r="AM133" i="15"/>
  <c r="X133" i="15"/>
  <c r="AK133" i="15"/>
  <c r="AZ133" i="15"/>
  <c r="R133" i="15"/>
  <c r="Z133" i="15"/>
  <c r="T133" i="15"/>
  <c r="E132" i="15"/>
  <c r="E125" i="22" s="1"/>
  <c r="AL133" i="15"/>
  <c r="BC133" i="15"/>
  <c r="AP133" i="15"/>
  <c r="BA133" i="15"/>
  <c r="AN133" i="15"/>
  <c r="BE133" i="15"/>
  <c r="U133" i="15"/>
  <c r="AA133" i="15"/>
  <c r="W133" i="15"/>
  <c r="AJ133" i="15"/>
  <c r="AY133" i="15"/>
  <c r="Y133" i="15"/>
  <c r="Q133" i="15"/>
  <c r="S133" i="15"/>
  <c r="G132" i="15"/>
  <c r="G125" i="22" s="1"/>
  <c r="L133" i="8"/>
  <c r="N133" i="8"/>
  <c r="P133" i="8"/>
  <c r="M133" i="8"/>
  <c r="O133" i="8"/>
  <c r="A134" i="8"/>
  <c r="K133" i="8"/>
  <c r="I133" i="8"/>
  <c r="G133" i="8"/>
  <c r="E133" i="8"/>
  <c r="C133" i="8"/>
  <c r="J133" i="8"/>
  <c r="H133" i="8"/>
  <c r="F133" i="8"/>
  <c r="D133" i="8"/>
  <c r="B133" i="8"/>
  <c r="A135" i="1"/>
  <c r="M134" i="1"/>
  <c r="N134" i="1"/>
  <c r="P134" i="1"/>
  <c r="O134" i="1"/>
  <c r="L134" i="1"/>
  <c r="H134" i="1"/>
  <c r="J134" i="1"/>
  <c r="D134" i="1"/>
  <c r="F134" i="1"/>
  <c r="G134" i="1"/>
  <c r="I134" i="1"/>
  <c r="K134" i="1"/>
  <c r="C134" i="1"/>
  <c r="E134" i="1"/>
  <c r="B134" i="1"/>
  <c r="D155" i="28" l="1"/>
  <c r="C155" i="28"/>
  <c r="D133" i="15"/>
  <c r="D126" i="22" s="1"/>
  <c r="AQ134" i="15"/>
  <c r="BD134" i="15"/>
  <c r="BF134" i="15"/>
  <c r="AM134" i="15"/>
  <c r="BB134" i="15"/>
  <c r="AO134" i="15"/>
  <c r="AB134" i="15"/>
  <c r="V134" i="15"/>
  <c r="X134" i="15"/>
  <c r="AK134" i="15"/>
  <c r="AZ134" i="15"/>
  <c r="R134" i="15"/>
  <c r="Z134" i="15"/>
  <c r="T134" i="15"/>
  <c r="AL134" i="15"/>
  <c r="BC134" i="15"/>
  <c r="AP134" i="15"/>
  <c r="BA134" i="15"/>
  <c r="AN134" i="15"/>
  <c r="AA134" i="15"/>
  <c r="BE134" i="15"/>
  <c r="U134" i="15"/>
  <c r="W134" i="15"/>
  <c r="AJ134" i="15"/>
  <c r="AY134" i="15"/>
  <c r="Y134" i="15"/>
  <c r="Q134" i="15"/>
  <c r="S134" i="15"/>
  <c r="F133" i="15"/>
  <c r="F126" i="22" s="1"/>
  <c r="G133" i="15"/>
  <c r="G126" i="22" s="1"/>
  <c r="E133" i="15"/>
  <c r="E126" i="22" s="1"/>
  <c r="L134" i="8"/>
  <c r="N134" i="8"/>
  <c r="P134" i="8"/>
  <c r="M134" i="8"/>
  <c r="O134" i="8"/>
  <c r="A135" i="8"/>
  <c r="K134" i="8"/>
  <c r="I134" i="8"/>
  <c r="G134" i="8"/>
  <c r="E134" i="8"/>
  <c r="C134" i="8"/>
  <c r="J134" i="8"/>
  <c r="H134" i="8"/>
  <c r="F134" i="8"/>
  <c r="D134" i="8"/>
  <c r="B134" i="8"/>
  <c r="A136" i="1"/>
  <c r="M135" i="1"/>
  <c r="O135" i="1"/>
  <c r="L135" i="1"/>
  <c r="N135" i="1"/>
  <c r="P135" i="1"/>
  <c r="H135" i="1"/>
  <c r="J135" i="1"/>
  <c r="D135" i="1"/>
  <c r="F135" i="1"/>
  <c r="G135" i="1"/>
  <c r="I135" i="1"/>
  <c r="K135" i="1"/>
  <c r="C135" i="1"/>
  <c r="E135" i="1"/>
  <c r="B135" i="1"/>
  <c r="D156" i="28" l="1"/>
  <c r="C156" i="28"/>
  <c r="F134" i="15"/>
  <c r="F127" i="22" s="1"/>
  <c r="AQ135" i="15"/>
  <c r="AM135" i="15"/>
  <c r="BB135" i="15"/>
  <c r="V135" i="15"/>
  <c r="AB135" i="15"/>
  <c r="BF135" i="15"/>
  <c r="BD135" i="15"/>
  <c r="AO135" i="15"/>
  <c r="X135" i="15"/>
  <c r="AZ135" i="15"/>
  <c r="AK135" i="15"/>
  <c r="Z135" i="15"/>
  <c r="R135" i="15"/>
  <c r="T135" i="15"/>
  <c r="G134" i="15"/>
  <c r="G127" i="22" s="1"/>
  <c r="BC135" i="15"/>
  <c r="AN135" i="15"/>
  <c r="AP135" i="15"/>
  <c r="BE135" i="15"/>
  <c r="AA135" i="15"/>
  <c r="AL135" i="15"/>
  <c r="U135" i="15"/>
  <c r="BA135" i="15"/>
  <c r="W135" i="15"/>
  <c r="AY135" i="15"/>
  <c r="AJ135" i="15"/>
  <c r="Q135" i="15"/>
  <c r="Y135" i="15"/>
  <c r="S135" i="15"/>
  <c r="E134" i="15"/>
  <c r="E127" i="22" s="1"/>
  <c r="D134" i="15"/>
  <c r="D127" i="22" s="1"/>
  <c r="L135" i="8"/>
  <c r="N135" i="8"/>
  <c r="P135" i="8"/>
  <c r="M135" i="8"/>
  <c r="O135" i="8"/>
  <c r="A136" i="8"/>
  <c r="K135" i="8"/>
  <c r="I135" i="8"/>
  <c r="G135" i="8"/>
  <c r="E135" i="8"/>
  <c r="C135" i="8"/>
  <c r="J135" i="8"/>
  <c r="H135" i="8"/>
  <c r="F135" i="8"/>
  <c r="D135" i="8"/>
  <c r="B135" i="8"/>
  <c r="A137" i="1"/>
  <c r="M136" i="1"/>
  <c r="N136" i="1"/>
  <c r="P136" i="1"/>
  <c r="O136" i="1"/>
  <c r="L136" i="1"/>
  <c r="H136" i="1"/>
  <c r="J136" i="1"/>
  <c r="D136" i="1"/>
  <c r="F136" i="1"/>
  <c r="G136" i="1"/>
  <c r="I136" i="1"/>
  <c r="K136" i="1"/>
  <c r="C136" i="1"/>
  <c r="E136" i="1"/>
  <c r="B136" i="1"/>
  <c r="D157" i="28" l="1"/>
  <c r="C157" i="28"/>
  <c r="F135" i="15"/>
  <c r="F128" i="22" s="1"/>
  <c r="G135" i="15"/>
  <c r="G128" i="22" s="1"/>
  <c r="BB136" i="15"/>
  <c r="AO136" i="15"/>
  <c r="BD136" i="15"/>
  <c r="AM136" i="15"/>
  <c r="V136" i="15"/>
  <c r="AQ136" i="15"/>
  <c r="AB136" i="15"/>
  <c r="BF136" i="15"/>
  <c r="X136" i="15"/>
  <c r="AZ136" i="15"/>
  <c r="AK136" i="15"/>
  <c r="R136" i="15"/>
  <c r="Z136" i="15"/>
  <c r="T136" i="15"/>
  <c r="E135" i="15"/>
  <c r="E128" i="22" s="1"/>
  <c r="BC136" i="15"/>
  <c r="AP136" i="15"/>
  <c r="AL136" i="15"/>
  <c r="AN136" i="15"/>
  <c r="BE136" i="15"/>
  <c r="U136" i="15"/>
  <c r="BA136" i="15"/>
  <c r="AA136" i="15"/>
  <c r="W136" i="15"/>
  <c r="AY136" i="15"/>
  <c r="AJ136" i="15"/>
  <c r="Y136" i="15"/>
  <c r="Q136" i="15"/>
  <c r="S136" i="15"/>
  <c r="D135" i="15"/>
  <c r="D128" i="22" s="1"/>
  <c r="L136" i="8"/>
  <c r="N136" i="8"/>
  <c r="P136" i="8"/>
  <c r="M136" i="8"/>
  <c r="O136" i="8"/>
  <c r="A137" i="8"/>
  <c r="K136" i="8"/>
  <c r="I136" i="8"/>
  <c r="G136" i="8"/>
  <c r="E136" i="8"/>
  <c r="C136" i="8"/>
  <c r="J136" i="8"/>
  <c r="H136" i="8"/>
  <c r="F136" i="8"/>
  <c r="D136" i="8"/>
  <c r="B136" i="8"/>
  <c r="A138" i="1"/>
  <c r="M137" i="1"/>
  <c r="O137" i="1"/>
  <c r="L137" i="1"/>
  <c r="N137" i="1"/>
  <c r="P137" i="1"/>
  <c r="H137" i="1"/>
  <c r="J137" i="1"/>
  <c r="D137" i="1"/>
  <c r="F137" i="1"/>
  <c r="G137" i="1"/>
  <c r="I137" i="1"/>
  <c r="K137" i="1"/>
  <c r="C137" i="1"/>
  <c r="E137" i="1"/>
  <c r="B137" i="1"/>
  <c r="D158" i="28" l="1"/>
  <c r="C158" i="28"/>
  <c r="F136" i="15"/>
  <c r="F129" i="22" s="1"/>
  <c r="BD137" i="15"/>
  <c r="AQ137" i="15"/>
  <c r="BF137" i="15"/>
  <c r="AB137" i="15"/>
  <c r="AM137" i="15"/>
  <c r="AO137" i="15"/>
  <c r="BB137" i="15"/>
  <c r="V137" i="15"/>
  <c r="X137" i="15"/>
  <c r="AZ137" i="15"/>
  <c r="AK137" i="15"/>
  <c r="Z137" i="15"/>
  <c r="R137" i="15"/>
  <c r="T137" i="15"/>
  <c r="BC137" i="15"/>
  <c r="AL137" i="15"/>
  <c r="BA137" i="15"/>
  <c r="AP137" i="15"/>
  <c r="AN137" i="15"/>
  <c r="BE137" i="15"/>
  <c r="AA137" i="15"/>
  <c r="U137" i="15"/>
  <c r="W137" i="15"/>
  <c r="AJ137" i="15"/>
  <c r="AY137" i="15"/>
  <c r="Y137" i="15"/>
  <c r="Q137" i="15"/>
  <c r="S137" i="15"/>
  <c r="G136" i="15"/>
  <c r="G129" i="22" s="1"/>
  <c r="E136" i="15"/>
  <c r="E129" i="22" s="1"/>
  <c r="D136" i="15"/>
  <c r="D129" i="22" s="1"/>
  <c r="L137" i="8"/>
  <c r="N137" i="8"/>
  <c r="P137" i="8"/>
  <c r="M137" i="8"/>
  <c r="O137" i="8"/>
  <c r="A138" i="8"/>
  <c r="K137" i="8"/>
  <c r="I137" i="8"/>
  <c r="G137" i="8"/>
  <c r="E137" i="8"/>
  <c r="C137" i="8"/>
  <c r="J137" i="8"/>
  <c r="H137" i="8"/>
  <c r="F137" i="8"/>
  <c r="D137" i="8"/>
  <c r="B137" i="8"/>
  <c r="A139" i="1"/>
  <c r="M138" i="1"/>
  <c r="N138" i="1"/>
  <c r="P138" i="1"/>
  <c r="O138" i="1"/>
  <c r="L138" i="1"/>
  <c r="H138" i="1"/>
  <c r="J138" i="1"/>
  <c r="D138" i="1"/>
  <c r="F138" i="1"/>
  <c r="G138" i="1"/>
  <c r="I138" i="1"/>
  <c r="K138" i="1"/>
  <c r="C138" i="1"/>
  <c r="E138" i="1"/>
  <c r="B138" i="1"/>
  <c r="D159" i="28" l="1"/>
  <c r="C159" i="28"/>
  <c r="G137" i="15"/>
  <c r="G130" i="22" s="1"/>
  <c r="BD138" i="15"/>
  <c r="AO138" i="15"/>
  <c r="AM138" i="15"/>
  <c r="BF138" i="15"/>
  <c r="AB138" i="15"/>
  <c r="BB138" i="15"/>
  <c r="AQ138" i="15"/>
  <c r="V138" i="15"/>
  <c r="X138" i="15"/>
  <c r="AK138" i="15"/>
  <c r="AZ138" i="15"/>
  <c r="Z138" i="15"/>
  <c r="R138" i="15"/>
  <c r="T138" i="15"/>
  <c r="F137" i="15"/>
  <c r="F130" i="22" s="1"/>
  <c r="AL138" i="15"/>
  <c r="BE138" i="15"/>
  <c r="AP138" i="15"/>
  <c r="BA138" i="15"/>
  <c r="BC138" i="15"/>
  <c r="AA138" i="15"/>
  <c r="U138" i="15"/>
  <c r="AN138" i="15"/>
  <c r="W138" i="15"/>
  <c r="AJ138" i="15"/>
  <c r="AY138" i="15"/>
  <c r="Q138" i="15"/>
  <c r="Y138" i="15"/>
  <c r="S138" i="15"/>
  <c r="E137" i="15"/>
  <c r="E130" i="22" s="1"/>
  <c r="D137" i="15"/>
  <c r="D130" i="22" s="1"/>
  <c r="L138" i="8"/>
  <c r="N138" i="8"/>
  <c r="P138" i="8"/>
  <c r="M138" i="8"/>
  <c r="O138" i="8"/>
  <c r="A139" i="8"/>
  <c r="K138" i="8"/>
  <c r="I138" i="8"/>
  <c r="G138" i="8"/>
  <c r="E138" i="8"/>
  <c r="C138" i="8"/>
  <c r="J138" i="8"/>
  <c r="H138" i="8"/>
  <c r="F138" i="8"/>
  <c r="D138" i="8"/>
  <c r="B138" i="8"/>
  <c r="A140" i="1"/>
  <c r="M139" i="1"/>
  <c r="O139" i="1"/>
  <c r="L139" i="1"/>
  <c r="N139" i="1"/>
  <c r="P139" i="1"/>
  <c r="H139" i="1"/>
  <c r="J139" i="1"/>
  <c r="D139" i="1"/>
  <c r="F139" i="1"/>
  <c r="G139" i="1"/>
  <c r="I139" i="1"/>
  <c r="K139" i="1"/>
  <c r="C139" i="1"/>
  <c r="E139" i="1"/>
  <c r="B139" i="1"/>
  <c r="D160" i="28" l="1"/>
  <c r="C160" i="28"/>
  <c r="E138" i="15"/>
  <c r="E131" i="22" s="1"/>
  <c r="D138" i="15"/>
  <c r="D131" i="22" s="1"/>
  <c r="G138" i="15"/>
  <c r="G131" i="22" s="1"/>
  <c r="BD139" i="15"/>
  <c r="AM139" i="15"/>
  <c r="BF139" i="15"/>
  <c r="AQ139" i="15"/>
  <c r="AO139" i="15"/>
  <c r="AB139" i="15"/>
  <c r="BB139" i="15"/>
  <c r="V139" i="15"/>
  <c r="X139" i="15"/>
  <c r="AZ139" i="15"/>
  <c r="AK139" i="15"/>
  <c r="Z139" i="15"/>
  <c r="R139" i="15"/>
  <c r="T139" i="15"/>
  <c r="AP139" i="15"/>
  <c r="BC139" i="15"/>
  <c r="AL139" i="15"/>
  <c r="BE139" i="15"/>
  <c r="U139" i="15"/>
  <c r="BA139" i="15"/>
  <c r="AA139" i="15"/>
  <c r="AN139" i="15"/>
  <c r="W139" i="15"/>
  <c r="AY139" i="15"/>
  <c r="AJ139" i="15"/>
  <c r="Y139" i="15"/>
  <c r="Q139" i="15"/>
  <c r="S139" i="15"/>
  <c r="F138" i="15"/>
  <c r="F131" i="22" s="1"/>
  <c r="L139" i="8"/>
  <c r="N139" i="8"/>
  <c r="P139" i="8"/>
  <c r="M139" i="8"/>
  <c r="O139" i="8"/>
  <c r="A140" i="8"/>
  <c r="K139" i="8"/>
  <c r="I139" i="8"/>
  <c r="G139" i="8"/>
  <c r="E139" i="8"/>
  <c r="C139" i="8"/>
  <c r="J139" i="8"/>
  <c r="H139" i="8"/>
  <c r="F139" i="8"/>
  <c r="D139" i="8"/>
  <c r="B139" i="8"/>
  <c r="A141" i="1"/>
  <c r="M140" i="1"/>
  <c r="N140" i="1"/>
  <c r="P140" i="1"/>
  <c r="O140" i="1"/>
  <c r="L140" i="1"/>
  <c r="H140" i="1"/>
  <c r="J140" i="1"/>
  <c r="D140" i="1"/>
  <c r="F140" i="1"/>
  <c r="G140" i="1"/>
  <c r="I140" i="1"/>
  <c r="K140" i="1"/>
  <c r="C140" i="1"/>
  <c r="E140" i="1"/>
  <c r="B140" i="1"/>
  <c r="D161" i="28" l="1"/>
  <c r="C161" i="28"/>
  <c r="F139" i="15"/>
  <c r="F132" i="22" s="1"/>
  <c r="D139" i="15"/>
  <c r="D132" i="22" s="1"/>
  <c r="BD140" i="15"/>
  <c r="AQ140" i="15"/>
  <c r="BB140" i="15"/>
  <c r="BF140" i="15"/>
  <c r="AO140" i="15"/>
  <c r="AB140" i="15"/>
  <c r="V140" i="15"/>
  <c r="AM140" i="15"/>
  <c r="X140" i="15"/>
  <c r="AZ140" i="15"/>
  <c r="AK140" i="15"/>
  <c r="Z140" i="15"/>
  <c r="R140" i="15"/>
  <c r="T140" i="15"/>
  <c r="G139" i="15"/>
  <c r="G132" i="22" s="1"/>
  <c r="AP140" i="15"/>
  <c r="BA140" i="15"/>
  <c r="BC140" i="15"/>
  <c r="AA140" i="15"/>
  <c r="AN140" i="15"/>
  <c r="AL140" i="15"/>
  <c r="BE140" i="15"/>
  <c r="U140" i="15"/>
  <c r="W140" i="15"/>
  <c r="AY140" i="15"/>
  <c r="AJ140" i="15"/>
  <c r="Y140" i="15"/>
  <c r="Q140" i="15"/>
  <c r="S140" i="15"/>
  <c r="E139" i="15"/>
  <c r="E132" i="22" s="1"/>
  <c r="L140" i="8"/>
  <c r="N140" i="8"/>
  <c r="P140" i="8"/>
  <c r="M140" i="8"/>
  <c r="O140" i="8"/>
  <c r="A141" i="8"/>
  <c r="K140" i="8"/>
  <c r="I140" i="8"/>
  <c r="G140" i="8"/>
  <c r="E140" i="8"/>
  <c r="C140" i="8"/>
  <c r="J140" i="8"/>
  <c r="H140" i="8"/>
  <c r="F140" i="8"/>
  <c r="D140" i="8"/>
  <c r="B140" i="8"/>
  <c r="A142" i="1"/>
  <c r="M141" i="1"/>
  <c r="O141" i="1"/>
  <c r="L141" i="1"/>
  <c r="N141" i="1"/>
  <c r="P141" i="1"/>
  <c r="H141" i="1"/>
  <c r="J141" i="1"/>
  <c r="D141" i="1"/>
  <c r="F141" i="1"/>
  <c r="G141" i="1"/>
  <c r="I141" i="1"/>
  <c r="K141" i="1"/>
  <c r="C141" i="1"/>
  <c r="E141" i="1"/>
  <c r="B141" i="1"/>
  <c r="D162" i="28" l="1"/>
  <c r="C162" i="28"/>
  <c r="F140" i="15"/>
  <c r="F133" i="22" s="1"/>
  <c r="AQ141" i="15"/>
  <c r="AM141" i="15"/>
  <c r="AO141" i="15"/>
  <c r="BD141" i="15"/>
  <c r="AB141" i="15"/>
  <c r="BF141" i="15"/>
  <c r="V141" i="15"/>
  <c r="BB141" i="15"/>
  <c r="X141" i="15"/>
  <c r="AK141" i="15"/>
  <c r="AZ141" i="15"/>
  <c r="Z141" i="15"/>
  <c r="R141" i="15"/>
  <c r="T141" i="15"/>
  <c r="D140" i="15"/>
  <c r="D133" i="22" s="1"/>
  <c r="E140" i="15"/>
  <c r="E133" i="22" s="1"/>
  <c r="BC141" i="15"/>
  <c r="AL141" i="15"/>
  <c r="AP141" i="15"/>
  <c r="BA141" i="15"/>
  <c r="AN141" i="15"/>
  <c r="U141" i="15"/>
  <c r="W141" i="15"/>
  <c r="AA141" i="15"/>
  <c r="BE141" i="15"/>
  <c r="AJ141" i="15"/>
  <c r="AY141" i="15"/>
  <c r="Y141" i="15"/>
  <c r="Q141" i="15"/>
  <c r="S141" i="15"/>
  <c r="G140" i="15"/>
  <c r="G133" i="22" s="1"/>
  <c r="L141" i="8"/>
  <c r="N141" i="8"/>
  <c r="P141" i="8"/>
  <c r="M141" i="8"/>
  <c r="O141" i="8"/>
  <c r="A142" i="8"/>
  <c r="K141" i="8"/>
  <c r="I141" i="8"/>
  <c r="G141" i="8"/>
  <c r="E141" i="8"/>
  <c r="C141" i="8"/>
  <c r="J141" i="8"/>
  <c r="H141" i="8"/>
  <c r="F141" i="8"/>
  <c r="D141" i="8"/>
  <c r="B141" i="8"/>
  <c r="A143" i="1"/>
  <c r="M142" i="1"/>
  <c r="N142" i="1"/>
  <c r="P142" i="1"/>
  <c r="O142" i="1"/>
  <c r="L142" i="1"/>
  <c r="H142" i="1"/>
  <c r="J142" i="1"/>
  <c r="D142" i="1"/>
  <c r="F142" i="1"/>
  <c r="G142" i="1"/>
  <c r="I142" i="1"/>
  <c r="K142" i="1"/>
  <c r="C142" i="1"/>
  <c r="E142" i="1"/>
  <c r="B142" i="1"/>
  <c r="C163" i="28" l="1"/>
  <c r="D163" i="28"/>
  <c r="BD142" i="15"/>
  <c r="AO142" i="15"/>
  <c r="AQ142" i="15"/>
  <c r="BF142" i="15"/>
  <c r="V142" i="15"/>
  <c r="AB142" i="15"/>
  <c r="BB142" i="15"/>
  <c r="AM142" i="15"/>
  <c r="X142" i="15"/>
  <c r="AZ142" i="15"/>
  <c r="AK142" i="15"/>
  <c r="Z142" i="15"/>
  <c r="R142" i="15"/>
  <c r="T142" i="15"/>
  <c r="D141" i="15"/>
  <c r="D134" i="22" s="1"/>
  <c r="F141" i="15"/>
  <c r="F134" i="22" s="1"/>
  <c r="G141" i="15"/>
  <c r="G134" i="22" s="1"/>
  <c r="AL142" i="15"/>
  <c r="BC142" i="15"/>
  <c r="BE142" i="15"/>
  <c r="AP142" i="15"/>
  <c r="AN142" i="15"/>
  <c r="BA142" i="15"/>
  <c r="AA142" i="15"/>
  <c r="U142" i="15"/>
  <c r="W142" i="15"/>
  <c r="AJ142" i="15"/>
  <c r="AY142" i="15"/>
  <c r="Y142" i="15"/>
  <c r="Q142" i="15"/>
  <c r="S142" i="15"/>
  <c r="E141" i="15"/>
  <c r="E134" i="22" s="1"/>
  <c r="L142" i="8"/>
  <c r="N142" i="8"/>
  <c r="P142" i="8"/>
  <c r="M142" i="8"/>
  <c r="O142" i="8"/>
  <c r="A143" i="8"/>
  <c r="K142" i="8"/>
  <c r="I142" i="8"/>
  <c r="G142" i="8"/>
  <c r="E142" i="8"/>
  <c r="C142" i="8"/>
  <c r="J142" i="8"/>
  <c r="H142" i="8"/>
  <c r="F142" i="8"/>
  <c r="D142" i="8"/>
  <c r="B142" i="8"/>
  <c r="A144" i="1"/>
  <c r="M143" i="1"/>
  <c r="O143" i="1"/>
  <c r="L143" i="1"/>
  <c r="N143" i="1"/>
  <c r="P143" i="1"/>
  <c r="H143" i="1"/>
  <c r="J143" i="1"/>
  <c r="D143" i="1"/>
  <c r="F143" i="1"/>
  <c r="G143" i="1"/>
  <c r="I143" i="1"/>
  <c r="K143" i="1"/>
  <c r="C143" i="1"/>
  <c r="E143" i="1"/>
  <c r="B143" i="1"/>
  <c r="D164" i="28" l="1"/>
  <c r="C164" i="28"/>
  <c r="D142" i="15"/>
  <c r="D135" i="22" s="1"/>
  <c r="E142" i="15"/>
  <c r="E135" i="22" s="1"/>
  <c r="BC143" i="15"/>
  <c r="AN143" i="15"/>
  <c r="BE143" i="15"/>
  <c r="AL143" i="15"/>
  <c r="BA143" i="15"/>
  <c r="AA143" i="15"/>
  <c r="AP143" i="15"/>
  <c r="U143" i="15"/>
  <c r="W143" i="15"/>
  <c r="AY143" i="15"/>
  <c r="AJ143" i="15"/>
  <c r="Y143" i="15"/>
  <c r="Q143" i="15"/>
  <c r="S143" i="15"/>
  <c r="AQ143" i="15"/>
  <c r="BD143" i="15"/>
  <c r="AO143" i="15"/>
  <c r="BB143" i="15"/>
  <c r="BF143" i="15"/>
  <c r="AM143" i="15"/>
  <c r="AB143" i="15"/>
  <c r="V143" i="15"/>
  <c r="X143" i="15"/>
  <c r="AK143" i="15"/>
  <c r="AZ143" i="15"/>
  <c r="Z143" i="15"/>
  <c r="R143" i="15"/>
  <c r="T143" i="15"/>
  <c r="G142" i="15"/>
  <c r="G135" i="22" s="1"/>
  <c r="F142" i="15"/>
  <c r="F135" i="22" s="1"/>
  <c r="L143" i="8"/>
  <c r="N143" i="8"/>
  <c r="P143" i="8"/>
  <c r="M143" i="8"/>
  <c r="O143" i="8"/>
  <c r="K143" i="8"/>
  <c r="I143" i="8"/>
  <c r="G143" i="8"/>
  <c r="E143" i="8"/>
  <c r="C143" i="8"/>
  <c r="A144" i="8"/>
  <c r="J143" i="8"/>
  <c r="H143" i="8"/>
  <c r="F143" i="8"/>
  <c r="D143" i="8"/>
  <c r="B143" i="8"/>
  <c r="A145" i="1"/>
  <c r="M144" i="1"/>
  <c r="N144" i="1"/>
  <c r="P144" i="1"/>
  <c r="O144" i="1"/>
  <c r="L144" i="1"/>
  <c r="H144" i="1"/>
  <c r="J144" i="1"/>
  <c r="G144" i="1"/>
  <c r="I144" i="1"/>
  <c r="K144" i="1"/>
  <c r="C144" i="1"/>
  <c r="E144" i="1"/>
  <c r="B144" i="1"/>
  <c r="F144" i="1"/>
  <c r="D144" i="1"/>
  <c r="D165" i="28" l="1"/>
  <c r="C165" i="28"/>
  <c r="D143" i="15"/>
  <c r="D136" i="22" s="1"/>
  <c r="G143" i="15"/>
  <c r="G136" i="22" s="1"/>
  <c r="BD144" i="15"/>
  <c r="AM144" i="15"/>
  <c r="BB144" i="15"/>
  <c r="AQ144" i="15"/>
  <c r="AO144" i="15"/>
  <c r="BF144" i="15"/>
  <c r="AB144" i="15"/>
  <c r="V144" i="15"/>
  <c r="X144" i="15"/>
  <c r="AZ144" i="15"/>
  <c r="AK144" i="15"/>
  <c r="Z144" i="15"/>
  <c r="R144" i="15"/>
  <c r="T144" i="15"/>
  <c r="BC144" i="15"/>
  <c r="AP144" i="15"/>
  <c r="AL144" i="15"/>
  <c r="BE144" i="15"/>
  <c r="AA144" i="15"/>
  <c r="AN144" i="15"/>
  <c r="BA144" i="15"/>
  <c r="U144" i="15"/>
  <c r="W144" i="15"/>
  <c r="AY144" i="15"/>
  <c r="AJ144" i="15"/>
  <c r="Y144" i="15"/>
  <c r="Q144" i="15"/>
  <c r="S144" i="15"/>
  <c r="E143" i="15"/>
  <c r="E136" i="22" s="1"/>
  <c r="F143" i="15"/>
  <c r="F136" i="22" s="1"/>
  <c r="L144" i="8"/>
  <c r="N144" i="8"/>
  <c r="P144" i="8"/>
  <c r="M144" i="8"/>
  <c r="O144" i="8"/>
  <c r="A145" i="8"/>
  <c r="J144" i="8"/>
  <c r="H144" i="8"/>
  <c r="F144" i="8"/>
  <c r="D144" i="8"/>
  <c r="B144" i="8"/>
  <c r="K144" i="8"/>
  <c r="G144" i="8"/>
  <c r="C144" i="8"/>
  <c r="I144" i="8"/>
  <c r="E144" i="8"/>
  <c r="A146" i="1"/>
  <c r="M145" i="1"/>
  <c r="O145" i="1"/>
  <c r="L145" i="1"/>
  <c r="N145" i="1"/>
  <c r="P145" i="1"/>
  <c r="H145" i="1"/>
  <c r="J145" i="1"/>
  <c r="G145" i="1"/>
  <c r="I145" i="1"/>
  <c r="K145" i="1"/>
  <c r="C145" i="1"/>
  <c r="E145" i="1"/>
  <c r="B145" i="1"/>
  <c r="D145" i="1"/>
  <c r="F145" i="1"/>
  <c r="D166" i="28" l="1"/>
  <c r="C166" i="28"/>
  <c r="F144" i="15"/>
  <c r="F137" i="22" s="1"/>
  <c r="G144" i="15"/>
  <c r="G137" i="22" s="1"/>
  <c r="AQ145" i="15"/>
  <c r="BD145" i="15"/>
  <c r="BF145" i="15"/>
  <c r="BB145" i="15"/>
  <c r="AM145" i="15"/>
  <c r="AO145" i="15"/>
  <c r="AB145" i="15"/>
  <c r="V145" i="15"/>
  <c r="X145" i="15"/>
  <c r="AK145" i="15"/>
  <c r="AZ145" i="15"/>
  <c r="Z145" i="15"/>
  <c r="R145" i="15"/>
  <c r="T145" i="15"/>
  <c r="BC145" i="15"/>
  <c r="BA145" i="15"/>
  <c r="AL145" i="15"/>
  <c r="BE145" i="15"/>
  <c r="AA145" i="15"/>
  <c r="AP145" i="15"/>
  <c r="AN145" i="15"/>
  <c r="U145" i="15"/>
  <c r="W145" i="15"/>
  <c r="AJ145" i="15"/>
  <c r="AY145" i="15"/>
  <c r="Y145" i="15"/>
  <c r="Q145" i="15"/>
  <c r="S145" i="15"/>
  <c r="D144" i="15"/>
  <c r="D137" i="22" s="1"/>
  <c r="E144" i="15"/>
  <c r="E137" i="22" s="1"/>
  <c r="L145" i="8"/>
  <c r="N145" i="8"/>
  <c r="P145" i="8"/>
  <c r="M145" i="8"/>
  <c r="O145" i="8"/>
  <c r="A146" i="8"/>
  <c r="K145" i="8"/>
  <c r="I145" i="8"/>
  <c r="G145" i="8"/>
  <c r="E145" i="8"/>
  <c r="C145" i="8"/>
  <c r="J145" i="8"/>
  <c r="H145" i="8"/>
  <c r="F145" i="8"/>
  <c r="D145" i="8"/>
  <c r="B145" i="8"/>
  <c r="A147" i="1"/>
  <c r="M146" i="1"/>
  <c r="N146" i="1"/>
  <c r="P146" i="1"/>
  <c r="O146" i="1"/>
  <c r="L146" i="1"/>
  <c r="H146" i="1"/>
  <c r="J146" i="1"/>
  <c r="G146" i="1"/>
  <c r="I146" i="1"/>
  <c r="K146" i="1"/>
  <c r="C146" i="1"/>
  <c r="E146" i="1"/>
  <c r="B146" i="1"/>
  <c r="F146" i="1"/>
  <c r="D146" i="1"/>
  <c r="D167" i="28" l="1"/>
  <c r="C167" i="28"/>
  <c r="F145" i="15"/>
  <c r="F138" i="22" s="1"/>
  <c r="BD146" i="15"/>
  <c r="AM146" i="15"/>
  <c r="BF146" i="15"/>
  <c r="AB146" i="15"/>
  <c r="V146" i="15"/>
  <c r="BB146" i="15"/>
  <c r="AO146" i="15"/>
  <c r="AQ146" i="15"/>
  <c r="X146" i="15"/>
  <c r="AK146" i="15"/>
  <c r="AZ146" i="15"/>
  <c r="R146" i="15"/>
  <c r="Z146" i="15"/>
  <c r="T146" i="15"/>
  <c r="E145" i="15"/>
  <c r="E138" i="22" s="1"/>
  <c r="D145" i="15"/>
  <c r="D138" i="22" s="1"/>
  <c r="AL146" i="15"/>
  <c r="AN146" i="15"/>
  <c r="BC146" i="15"/>
  <c r="BE146" i="15"/>
  <c r="U146" i="15"/>
  <c r="AA146" i="15"/>
  <c r="AP146" i="15"/>
  <c r="BA146" i="15"/>
  <c r="W146" i="15"/>
  <c r="AY146" i="15"/>
  <c r="AJ146" i="15"/>
  <c r="Y146" i="15"/>
  <c r="Q146" i="15"/>
  <c r="S146" i="15"/>
  <c r="G145" i="15"/>
  <c r="G138" i="22" s="1"/>
  <c r="L146" i="8"/>
  <c r="N146" i="8"/>
  <c r="P146" i="8"/>
  <c r="M146" i="8"/>
  <c r="O146" i="8"/>
  <c r="A147" i="8"/>
  <c r="K146" i="8"/>
  <c r="I146" i="8"/>
  <c r="G146" i="8"/>
  <c r="E146" i="8"/>
  <c r="C146" i="8"/>
  <c r="J146" i="8"/>
  <c r="H146" i="8"/>
  <c r="F146" i="8"/>
  <c r="D146" i="8"/>
  <c r="B146" i="8"/>
  <c r="A148" i="1"/>
  <c r="M147" i="1"/>
  <c r="O147" i="1"/>
  <c r="L147" i="1"/>
  <c r="N147" i="1"/>
  <c r="P147" i="1"/>
  <c r="H147" i="1"/>
  <c r="J147" i="1"/>
  <c r="G147" i="1"/>
  <c r="I147" i="1"/>
  <c r="K147" i="1"/>
  <c r="C147" i="1"/>
  <c r="E147" i="1"/>
  <c r="B147" i="1"/>
  <c r="D147" i="1"/>
  <c r="F147" i="1"/>
  <c r="D168" i="28" l="1"/>
  <c r="C168" i="28"/>
  <c r="F146" i="15"/>
  <c r="F139" i="22" s="1"/>
  <c r="E146" i="15"/>
  <c r="E139" i="22" s="1"/>
  <c r="D146" i="15"/>
  <c r="D139" i="22" s="1"/>
  <c r="G146" i="15"/>
  <c r="G139" i="22" s="1"/>
  <c r="BD147" i="15"/>
  <c r="AM147" i="15"/>
  <c r="AQ147" i="15"/>
  <c r="BB147" i="15"/>
  <c r="BF147" i="15"/>
  <c r="AO147" i="15"/>
  <c r="V147" i="15"/>
  <c r="AB147" i="15"/>
  <c r="X147" i="15"/>
  <c r="AK147" i="15"/>
  <c r="AZ147" i="15"/>
  <c r="R147" i="15"/>
  <c r="Z147" i="15"/>
  <c r="T147" i="15"/>
  <c r="BC147" i="15"/>
  <c r="AP147" i="15"/>
  <c r="AL147" i="15"/>
  <c r="BE147" i="15"/>
  <c r="AN147" i="15"/>
  <c r="BA147" i="15"/>
  <c r="AA147" i="15"/>
  <c r="U147" i="15"/>
  <c r="W147" i="15"/>
  <c r="AY147" i="15"/>
  <c r="AJ147" i="15"/>
  <c r="Q147" i="15"/>
  <c r="Y147" i="15"/>
  <c r="S147" i="15"/>
  <c r="L147" i="8"/>
  <c r="N147" i="8"/>
  <c r="P147" i="8"/>
  <c r="M147" i="8"/>
  <c r="O147" i="8"/>
  <c r="A148" i="8"/>
  <c r="K147" i="8"/>
  <c r="I147" i="8"/>
  <c r="G147" i="8"/>
  <c r="E147" i="8"/>
  <c r="C147" i="8"/>
  <c r="J147" i="8"/>
  <c r="H147" i="8"/>
  <c r="F147" i="8"/>
  <c r="D147" i="8"/>
  <c r="B147" i="8"/>
  <c r="A149" i="1"/>
  <c r="M148" i="1"/>
  <c r="N148" i="1"/>
  <c r="P148" i="1"/>
  <c r="O148" i="1"/>
  <c r="L148" i="1"/>
  <c r="H148" i="1"/>
  <c r="J148" i="1"/>
  <c r="G148" i="1"/>
  <c r="I148" i="1"/>
  <c r="K148" i="1"/>
  <c r="C148" i="1"/>
  <c r="E148" i="1"/>
  <c r="B148" i="1"/>
  <c r="F148" i="1"/>
  <c r="D148" i="1"/>
  <c r="E147" i="15" l="1"/>
  <c r="E140" i="22" s="1"/>
  <c r="D169" i="28"/>
  <c r="C169" i="28"/>
  <c r="F147" i="15"/>
  <c r="F140" i="22" s="1"/>
  <c r="AQ148" i="15"/>
  <c r="BB148" i="15"/>
  <c r="BD148" i="15"/>
  <c r="AM148" i="15"/>
  <c r="AO148" i="15"/>
  <c r="BF148" i="15"/>
  <c r="AB148" i="15"/>
  <c r="X148" i="15"/>
  <c r="V148" i="15"/>
  <c r="AZ148" i="15"/>
  <c r="AK148" i="15"/>
  <c r="R148" i="15"/>
  <c r="Z148" i="15"/>
  <c r="T148" i="15"/>
  <c r="D147" i="15"/>
  <c r="D140" i="22" s="1"/>
  <c r="G147" i="15"/>
  <c r="G140" i="22" s="1"/>
  <c r="AP148" i="15"/>
  <c r="BC148" i="15"/>
  <c r="AN148" i="15"/>
  <c r="AL148" i="15"/>
  <c r="BA148" i="15"/>
  <c r="AA148" i="15"/>
  <c r="U148" i="15"/>
  <c r="BE148" i="15"/>
  <c r="W148" i="15"/>
  <c r="AJ148" i="15"/>
  <c r="AY148" i="15"/>
  <c r="Y148" i="15"/>
  <c r="Q148" i="15"/>
  <c r="S148" i="15"/>
  <c r="L148" i="8"/>
  <c r="N148" i="8"/>
  <c r="P148" i="8"/>
  <c r="M148" i="8"/>
  <c r="O148" i="8"/>
  <c r="A149" i="8"/>
  <c r="K148" i="8"/>
  <c r="I148" i="8"/>
  <c r="G148" i="8"/>
  <c r="E148" i="8"/>
  <c r="C148" i="8"/>
  <c r="J148" i="8"/>
  <c r="H148" i="8"/>
  <c r="F148" i="8"/>
  <c r="D148" i="8"/>
  <c r="B148" i="8"/>
  <c r="A150" i="1"/>
  <c r="M149" i="1"/>
  <c r="O149" i="1"/>
  <c r="L149" i="1"/>
  <c r="N149" i="1"/>
  <c r="P149" i="1"/>
  <c r="H149" i="1"/>
  <c r="J149" i="1"/>
  <c r="G149" i="1"/>
  <c r="I149" i="1"/>
  <c r="K149" i="1"/>
  <c r="C149" i="1"/>
  <c r="E149" i="1"/>
  <c r="B149" i="1"/>
  <c r="D149" i="1"/>
  <c r="F149" i="1"/>
  <c r="D170" i="28" l="1"/>
  <c r="C170" i="28"/>
  <c r="G148" i="15"/>
  <c r="G141" i="22" s="1"/>
  <c r="AQ149" i="15"/>
  <c r="BB149" i="15"/>
  <c r="AO149" i="15"/>
  <c r="AB149" i="15"/>
  <c r="BF149" i="15"/>
  <c r="AM149" i="15"/>
  <c r="V149" i="15"/>
  <c r="BD149" i="15"/>
  <c r="X149" i="15"/>
  <c r="AZ149" i="15"/>
  <c r="AK149" i="15"/>
  <c r="R149" i="15"/>
  <c r="Z149" i="15"/>
  <c r="T149" i="15"/>
  <c r="BC149" i="15"/>
  <c r="AL149" i="15"/>
  <c r="AP149" i="15"/>
  <c r="BA149" i="15"/>
  <c r="AN149" i="15"/>
  <c r="AA149" i="15"/>
  <c r="BE149" i="15"/>
  <c r="U149" i="15"/>
  <c r="W149" i="15"/>
  <c r="AY149" i="15"/>
  <c r="AJ149" i="15"/>
  <c r="Y149" i="15"/>
  <c r="Q149" i="15"/>
  <c r="S149" i="15"/>
  <c r="D148" i="15"/>
  <c r="D141" i="22" s="1"/>
  <c r="F148" i="15"/>
  <c r="F141" i="22" s="1"/>
  <c r="E148" i="15"/>
  <c r="E141" i="22" s="1"/>
  <c r="L149" i="8"/>
  <c r="N149" i="8"/>
  <c r="P149" i="8"/>
  <c r="M149" i="8"/>
  <c r="O149" i="8"/>
  <c r="A150" i="8"/>
  <c r="K149" i="8"/>
  <c r="I149" i="8"/>
  <c r="G149" i="8"/>
  <c r="E149" i="8"/>
  <c r="C149" i="8"/>
  <c r="J149" i="8"/>
  <c r="H149" i="8"/>
  <c r="F149" i="8"/>
  <c r="D149" i="8"/>
  <c r="B149" i="8"/>
  <c r="A151" i="1"/>
  <c r="M150" i="1"/>
  <c r="N150" i="1"/>
  <c r="P150" i="1"/>
  <c r="O150" i="1"/>
  <c r="L150" i="1"/>
  <c r="H150" i="1"/>
  <c r="J150" i="1"/>
  <c r="G150" i="1"/>
  <c r="I150" i="1"/>
  <c r="K150" i="1"/>
  <c r="C150" i="1"/>
  <c r="E150" i="1"/>
  <c r="B150" i="1"/>
  <c r="F150" i="1"/>
  <c r="D150" i="1"/>
  <c r="C171" i="28" l="1"/>
  <c r="D171" i="28"/>
  <c r="D149" i="15"/>
  <c r="D142" i="22" s="1"/>
  <c r="G149" i="15"/>
  <c r="G142" i="22" s="1"/>
  <c r="E149" i="15"/>
  <c r="E142" i="22" s="1"/>
  <c r="BD150" i="15"/>
  <c r="AQ150" i="15"/>
  <c r="AO150" i="15"/>
  <c r="BF150" i="15"/>
  <c r="AM150" i="15"/>
  <c r="BB150" i="15"/>
  <c r="V150" i="15"/>
  <c r="AB150" i="15"/>
  <c r="X150" i="15"/>
  <c r="AK150" i="15"/>
  <c r="AZ150" i="15"/>
  <c r="Z150" i="15"/>
  <c r="R150" i="15"/>
  <c r="T150" i="15"/>
  <c r="AL150" i="15"/>
  <c r="BC150" i="15"/>
  <c r="AP150" i="15"/>
  <c r="BA150" i="15"/>
  <c r="AN150" i="15"/>
  <c r="U150" i="15"/>
  <c r="BE150" i="15"/>
  <c r="AA150" i="15"/>
  <c r="W150" i="15"/>
  <c r="AJ150" i="15"/>
  <c r="AY150" i="15"/>
  <c r="Y150" i="15"/>
  <c r="Q150" i="15"/>
  <c r="S150" i="15"/>
  <c r="F149" i="15"/>
  <c r="F142" i="22" s="1"/>
  <c r="L150" i="8"/>
  <c r="N150" i="8"/>
  <c r="P150" i="8"/>
  <c r="M150" i="8"/>
  <c r="O150" i="8"/>
  <c r="A151" i="8"/>
  <c r="K150" i="8"/>
  <c r="I150" i="8"/>
  <c r="G150" i="8"/>
  <c r="E150" i="8"/>
  <c r="C150" i="8"/>
  <c r="J150" i="8"/>
  <c r="H150" i="8"/>
  <c r="F150" i="8"/>
  <c r="D150" i="8"/>
  <c r="B150" i="8"/>
  <c r="A152" i="1"/>
  <c r="M151" i="1"/>
  <c r="O151" i="1"/>
  <c r="L151" i="1"/>
  <c r="N151" i="1"/>
  <c r="P151" i="1"/>
  <c r="H151" i="1"/>
  <c r="J151" i="1"/>
  <c r="G151" i="1"/>
  <c r="I151" i="1"/>
  <c r="K151" i="1"/>
  <c r="C151" i="1"/>
  <c r="E151" i="1"/>
  <c r="B151" i="1"/>
  <c r="D151" i="1"/>
  <c r="F151" i="1"/>
  <c r="D172" i="28" l="1"/>
  <c r="C172" i="28"/>
  <c r="G150" i="15"/>
  <c r="G143" i="22" s="1"/>
  <c r="D150" i="15"/>
  <c r="D143" i="22" s="1"/>
  <c r="F150" i="15"/>
  <c r="F143" i="22" s="1"/>
  <c r="AM151" i="15"/>
  <c r="AQ151" i="15"/>
  <c r="BB151" i="15"/>
  <c r="BD151" i="15"/>
  <c r="BF151" i="15"/>
  <c r="V151" i="15"/>
  <c r="AB151" i="15"/>
  <c r="AO151" i="15"/>
  <c r="X151" i="15"/>
  <c r="AZ151" i="15"/>
  <c r="AK151" i="15"/>
  <c r="Z151" i="15"/>
  <c r="R151" i="15"/>
  <c r="T151" i="15"/>
  <c r="BC151" i="15"/>
  <c r="AN151" i="15"/>
  <c r="AP151" i="15"/>
  <c r="BE151" i="15"/>
  <c r="AL151" i="15"/>
  <c r="BA151" i="15"/>
  <c r="U151" i="15"/>
  <c r="AA151" i="15"/>
  <c r="W151" i="15"/>
  <c r="AY151" i="15"/>
  <c r="AJ151" i="15"/>
  <c r="Y151" i="15"/>
  <c r="Q151" i="15"/>
  <c r="S151" i="15"/>
  <c r="E150" i="15"/>
  <c r="E143" i="22" s="1"/>
  <c r="L151" i="8"/>
  <c r="N151" i="8"/>
  <c r="P151" i="8"/>
  <c r="M151" i="8"/>
  <c r="O151" i="8"/>
  <c r="A152" i="8"/>
  <c r="K151" i="8"/>
  <c r="I151" i="8"/>
  <c r="G151" i="8"/>
  <c r="E151" i="8"/>
  <c r="C151" i="8"/>
  <c r="J151" i="8"/>
  <c r="H151" i="8"/>
  <c r="F151" i="8"/>
  <c r="D151" i="8"/>
  <c r="B151" i="8"/>
  <c r="A153" i="1"/>
  <c r="M152" i="1"/>
  <c r="N152" i="1"/>
  <c r="P152" i="1"/>
  <c r="O152" i="1"/>
  <c r="L152" i="1"/>
  <c r="H152" i="1"/>
  <c r="J152" i="1"/>
  <c r="G152" i="1"/>
  <c r="I152" i="1"/>
  <c r="K152" i="1"/>
  <c r="C152" i="1"/>
  <c r="E152" i="1"/>
  <c r="B152" i="1"/>
  <c r="F152" i="1"/>
  <c r="D152" i="1"/>
  <c r="D173" i="28" l="1"/>
  <c r="C173" i="28"/>
  <c r="E151" i="15"/>
  <c r="E144" i="22" s="1"/>
  <c r="BD152" i="15"/>
  <c r="AM152" i="15"/>
  <c r="AO152" i="15"/>
  <c r="BB152" i="15"/>
  <c r="AB152" i="15"/>
  <c r="AQ152" i="15"/>
  <c r="BF152" i="15"/>
  <c r="V152" i="15"/>
  <c r="X152" i="15"/>
  <c r="AZ152" i="15"/>
  <c r="AK152" i="15"/>
  <c r="R152" i="15"/>
  <c r="Z152" i="15"/>
  <c r="T152" i="15"/>
  <c r="D151" i="15"/>
  <c r="D144" i="22" s="1"/>
  <c r="BC152" i="15"/>
  <c r="AP152" i="15"/>
  <c r="AL152" i="15"/>
  <c r="AN152" i="15"/>
  <c r="BE152" i="15"/>
  <c r="BA152" i="15"/>
  <c r="U152" i="15"/>
  <c r="AA152" i="15"/>
  <c r="W152" i="15"/>
  <c r="AJ152" i="15"/>
  <c r="AY152" i="15"/>
  <c r="Y152" i="15"/>
  <c r="Q152" i="15"/>
  <c r="S152" i="15"/>
  <c r="F151" i="15"/>
  <c r="F144" i="22" s="1"/>
  <c r="G151" i="15"/>
  <c r="G144" i="22" s="1"/>
  <c r="L152" i="8"/>
  <c r="N152" i="8"/>
  <c r="P152" i="8"/>
  <c r="M152" i="8"/>
  <c r="O152" i="8"/>
  <c r="A153" i="8"/>
  <c r="K152" i="8"/>
  <c r="I152" i="8"/>
  <c r="G152" i="8"/>
  <c r="E152" i="8"/>
  <c r="C152" i="8"/>
  <c r="J152" i="8"/>
  <c r="H152" i="8"/>
  <c r="F152" i="8"/>
  <c r="D152" i="8"/>
  <c r="B152" i="8"/>
  <c r="A154" i="1"/>
  <c r="M153" i="1"/>
  <c r="O153" i="1"/>
  <c r="L153" i="1"/>
  <c r="N153" i="1"/>
  <c r="P153" i="1"/>
  <c r="H153" i="1"/>
  <c r="J153" i="1"/>
  <c r="G153" i="1"/>
  <c r="I153" i="1"/>
  <c r="K153" i="1"/>
  <c r="C153" i="1"/>
  <c r="E153" i="1"/>
  <c r="B153" i="1"/>
  <c r="D153" i="1"/>
  <c r="F153" i="1"/>
  <c r="D174" i="28" l="1"/>
  <c r="C174" i="28"/>
  <c r="D152" i="15"/>
  <c r="D145" i="22" s="1"/>
  <c r="AM153" i="15"/>
  <c r="BD153" i="15"/>
  <c r="AQ153" i="15"/>
  <c r="AO153" i="15"/>
  <c r="BF153" i="15"/>
  <c r="AB153" i="15"/>
  <c r="V153" i="15"/>
  <c r="BB153" i="15"/>
  <c r="X153" i="15"/>
  <c r="AK153" i="15"/>
  <c r="AZ153" i="15"/>
  <c r="Z153" i="15"/>
  <c r="R153" i="15"/>
  <c r="T153" i="15"/>
  <c r="E152" i="15"/>
  <c r="E145" i="22" s="1"/>
  <c r="AL153" i="15"/>
  <c r="BA153" i="15"/>
  <c r="AP153" i="15"/>
  <c r="AN153" i="15"/>
  <c r="BE153" i="15"/>
  <c r="BC153" i="15"/>
  <c r="U153" i="15"/>
  <c r="AA153" i="15"/>
  <c r="W153" i="15"/>
  <c r="AJ153" i="15"/>
  <c r="AY153" i="15"/>
  <c r="Y153" i="15"/>
  <c r="Q153" i="15"/>
  <c r="S153" i="15"/>
  <c r="F152" i="15"/>
  <c r="F145" i="22" s="1"/>
  <c r="G152" i="15"/>
  <c r="G145" i="22" s="1"/>
  <c r="L153" i="8"/>
  <c r="N153" i="8"/>
  <c r="P153" i="8"/>
  <c r="M153" i="8"/>
  <c r="O153" i="8"/>
  <c r="A154" i="8"/>
  <c r="K153" i="8"/>
  <c r="I153" i="8"/>
  <c r="G153" i="8"/>
  <c r="E153" i="8"/>
  <c r="C153" i="8"/>
  <c r="J153" i="8"/>
  <c r="H153" i="8"/>
  <c r="F153" i="8"/>
  <c r="D153" i="8"/>
  <c r="B153" i="8"/>
  <c r="A155" i="1"/>
  <c r="M154" i="1"/>
  <c r="N154" i="1"/>
  <c r="P154" i="1"/>
  <c r="O154" i="1"/>
  <c r="L154" i="1"/>
  <c r="H154" i="1"/>
  <c r="J154" i="1"/>
  <c r="G154" i="1"/>
  <c r="I154" i="1"/>
  <c r="K154" i="1"/>
  <c r="C154" i="1"/>
  <c r="E154" i="1"/>
  <c r="B154" i="1"/>
  <c r="F154" i="1"/>
  <c r="D154" i="1"/>
  <c r="D175" i="28" l="1"/>
  <c r="C175" i="28"/>
  <c r="D153" i="15"/>
  <c r="D146" i="22" s="1"/>
  <c r="E153" i="15"/>
  <c r="E146" i="22" s="1"/>
  <c r="G153" i="15"/>
  <c r="G146" i="22" s="1"/>
  <c r="BD154" i="15"/>
  <c r="AM154" i="15"/>
  <c r="BF154" i="15"/>
  <c r="AQ154" i="15"/>
  <c r="AO154" i="15"/>
  <c r="BB154" i="15"/>
  <c r="AB154" i="15"/>
  <c r="V154" i="15"/>
  <c r="X154" i="15"/>
  <c r="AK154" i="15"/>
  <c r="AZ154" i="15"/>
  <c r="R154" i="15"/>
  <c r="Z154" i="15"/>
  <c r="T154" i="15"/>
  <c r="AL154" i="15"/>
  <c r="BE154" i="15"/>
  <c r="BC154" i="15"/>
  <c r="AP154" i="15"/>
  <c r="BA154" i="15"/>
  <c r="AA154" i="15"/>
  <c r="U154" i="15"/>
  <c r="AN154" i="15"/>
  <c r="W154" i="15"/>
  <c r="AY154" i="15"/>
  <c r="AJ154" i="15"/>
  <c r="Y154" i="15"/>
  <c r="Q154" i="15"/>
  <c r="S154" i="15"/>
  <c r="F153" i="15"/>
  <c r="F146" i="22" s="1"/>
  <c r="L154" i="8"/>
  <c r="N154" i="8"/>
  <c r="P154" i="8"/>
  <c r="M154" i="8"/>
  <c r="O154" i="8"/>
  <c r="A155" i="8"/>
  <c r="K154" i="8"/>
  <c r="I154" i="8"/>
  <c r="G154" i="8"/>
  <c r="E154" i="8"/>
  <c r="C154" i="8"/>
  <c r="J154" i="8"/>
  <c r="H154" i="8"/>
  <c r="F154" i="8"/>
  <c r="D154" i="8"/>
  <c r="B154" i="8"/>
  <c r="A156" i="1"/>
  <c r="M155" i="1"/>
  <c r="O155" i="1"/>
  <c r="L155" i="1"/>
  <c r="N155" i="1"/>
  <c r="P155" i="1"/>
  <c r="H155" i="1"/>
  <c r="J155" i="1"/>
  <c r="G155" i="1"/>
  <c r="I155" i="1"/>
  <c r="K155" i="1"/>
  <c r="C155" i="1"/>
  <c r="E155" i="1"/>
  <c r="B155" i="1"/>
  <c r="D155" i="1"/>
  <c r="F155" i="1"/>
  <c r="D176" i="28" l="1"/>
  <c r="C176" i="28"/>
  <c r="G154" i="15"/>
  <c r="G147" i="22" s="1"/>
  <c r="BD155" i="15"/>
  <c r="AM155" i="15"/>
  <c r="AQ155" i="15"/>
  <c r="AO155" i="15"/>
  <c r="BF155" i="15"/>
  <c r="AB155" i="15"/>
  <c r="BB155" i="15"/>
  <c r="V155" i="15"/>
  <c r="X155" i="15"/>
  <c r="AK155" i="15"/>
  <c r="AZ155" i="15"/>
  <c r="R155" i="15"/>
  <c r="Z155" i="15"/>
  <c r="T155" i="15"/>
  <c r="D154" i="15"/>
  <c r="D147" i="22" s="1"/>
  <c r="AP155" i="15"/>
  <c r="AL155" i="15"/>
  <c r="BE155" i="15"/>
  <c r="BC155" i="15"/>
  <c r="BA155" i="15"/>
  <c r="AN155" i="15"/>
  <c r="AA155" i="15"/>
  <c r="U155" i="15"/>
  <c r="W155" i="15"/>
  <c r="AY155" i="15"/>
  <c r="AJ155" i="15"/>
  <c r="Y155" i="15"/>
  <c r="Q155" i="15"/>
  <c r="S155" i="15"/>
  <c r="F154" i="15"/>
  <c r="F147" i="22" s="1"/>
  <c r="E154" i="15"/>
  <c r="E147" i="22" s="1"/>
  <c r="L155" i="8"/>
  <c r="N155" i="8"/>
  <c r="P155" i="8"/>
  <c r="M155" i="8"/>
  <c r="O155" i="8"/>
  <c r="A156" i="8"/>
  <c r="K155" i="8"/>
  <c r="I155" i="8"/>
  <c r="G155" i="8"/>
  <c r="E155" i="8"/>
  <c r="C155" i="8"/>
  <c r="J155" i="8"/>
  <c r="H155" i="8"/>
  <c r="F155" i="8"/>
  <c r="D155" i="8"/>
  <c r="B155" i="8"/>
  <c r="A157" i="1"/>
  <c r="M156" i="1"/>
  <c r="N156" i="1"/>
  <c r="P156" i="1"/>
  <c r="O156" i="1"/>
  <c r="L156" i="1"/>
  <c r="H156" i="1"/>
  <c r="J156" i="1"/>
  <c r="G156" i="1"/>
  <c r="I156" i="1"/>
  <c r="K156" i="1"/>
  <c r="C156" i="1"/>
  <c r="E156" i="1"/>
  <c r="B156" i="1"/>
  <c r="F156" i="1"/>
  <c r="D156" i="1"/>
  <c r="D177" i="28" l="1"/>
  <c r="C177" i="28"/>
  <c r="E155" i="15"/>
  <c r="E148" i="22" s="1"/>
  <c r="F155" i="15"/>
  <c r="F148" i="22" s="1"/>
  <c r="G155" i="15"/>
  <c r="G148" i="22" s="1"/>
  <c r="BD156" i="15"/>
  <c r="AQ156" i="15"/>
  <c r="BB156" i="15"/>
  <c r="AO156" i="15"/>
  <c r="BF156" i="15"/>
  <c r="AM156" i="15"/>
  <c r="AB156" i="15"/>
  <c r="V156" i="15"/>
  <c r="X156" i="15"/>
  <c r="AZ156" i="15"/>
  <c r="AK156" i="15"/>
  <c r="Z156" i="15"/>
  <c r="R156" i="15"/>
  <c r="T156" i="15"/>
  <c r="AP156" i="15"/>
  <c r="BA156" i="15"/>
  <c r="AN156" i="15"/>
  <c r="BE156" i="15"/>
  <c r="AA156" i="15"/>
  <c r="U156" i="15"/>
  <c r="AL156" i="15"/>
  <c r="BC156" i="15"/>
  <c r="W156" i="15"/>
  <c r="AJ156" i="15"/>
  <c r="AY156" i="15"/>
  <c r="Y156" i="15"/>
  <c r="Q156" i="15"/>
  <c r="S156" i="15"/>
  <c r="D155" i="15"/>
  <c r="D148" i="22" s="1"/>
  <c r="L156" i="8"/>
  <c r="N156" i="8"/>
  <c r="P156" i="8"/>
  <c r="M156" i="8"/>
  <c r="O156" i="8"/>
  <c r="A157" i="8"/>
  <c r="K156" i="8"/>
  <c r="I156" i="8"/>
  <c r="G156" i="8"/>
  <c r="E156" i="8"/>
  <c r="C156" i="8"/>
  <c r="J156" i="8"/>
  <c r="H156" i="8"/>
  <c r="F156" i="8"/>
  <c r="D156" i="8"/>
  <c r="B156" i="8"/>
  <c r="A158" i="1"/>
  <c r="M157" i="1"/>
  <c r="O157" i="1"/>
  <c r="L157" i="1"/>
  <c r="N157" i="1"/>
  <c r="P157" i="1"/>
  <c r="H157" i="1"/>
  <c r="J157" i="1"/>
  <c r="G157" i="1"/>
  <c r="I157" i="1"/>
  <c r="K157" i="1"/>
  <c r="C157" i="1"/>
  <c r="E157" i="1"/>
  <c r="B157" i="1"/>
  <c r="D157" i="1"/>
  <c r="F157" i="1"/>
  <c r="D178" i="28" l="1"/>
  <c r="C178" i="28"/>
  <c r="D156" i="15"/>
  <c r="D149" i="22" s="1"/>
  <c r="F156" i="15"/>
  <c r="F149" i="22" s="1"/>
  <c r="G156" i="15"/>
  <c r="G149" i="22" s="1"/>
  <c r="AM157" i="15"/>
  <c r="AQ157" i="15"/>
  <c r="BD157" i="15"/>
  <c r="BB157" i="15"/>
  <c r="AB157" i="15"/>
  <c r="AO157" i="15"/>
  <c r="BF157" i="15"/>
  <c r="V157" i="15"/>
  <c r="X157" i="15"/>
  <c r="AZ157" i="15"/>
  <c r="AK157" i="15"/>
  <c r="Z157" i="15"/>
  <c r="R157" i="15"/>
  <c r="T157" i="15"/>
  <c r="BC157" i="15"/>
  <c r="AL157" i="15"/>
  <c r="AP157" i="15"/>
  <c r="BA157" i="15"/>
  <c r="AN157" i="15"/>
  <c r="U157" i="15"/>
  <c r="AA157" i="15"/>
  <c r="BE157" i="15"/>
  <c r="W157" i="15"/>
  <c r="AJ157" i="15"/>
  <c r="AY157" i="15"/>
  <c r="Y157" i="15"/>
  <c r="Q157" i="15"/>
  <c r="S157" i="15"/>
  <c r="E156" i="15"/>
  <c r="E149" i="22" s="1"/>
  <c r="L157" i="8"/>
  <c r="N157" i="8"/>
  <c r="P157" i="8"/>
  <c r="M157" i="8"/>
  <c r="O157" i="8"/>
  <c r="A158" i="8"/>
  <c r="K157" i="8"/>
  <c r="I157" i="8"/>
  <c r="G157" i="8"/>
  <c r="E157" i="8"/>
  <c r="C157" i="8"/>
  <c r="J157" i="8"/>
  <c r="H157" i="8"/>
  <c r="F157" i="8"/>
  <c r="D157" i="8"/>
  <c r="B157" i="8"/>
  <c r="A159" i="1"/>
  <c r="M158" i="1"/>
  <c r="N158" i="1"/>
  <c r="P158" i="1"/>
  <c r="O158" i="1"/>
  <c r="L158" i="1"/>
  <c r="H158" i="1"/>
  <c r="J158" i="1"/>
  <c r="G158" i="1"/>
  <c r="I158" i="1"/>
  <c r="K158" i="1"/>
  <c r="C158" i="1"/>
  <c r="E158" i="1"/>
  <c r="B158" i="1"/>
  <c r="F158" i="1"/>
  <c r="D158" i="1"/>
  <c r="D179" i="28" l="1"/>
  <c r="C179" i="28"/>
  <c r="E157" i="15"/>
  <c r="E150" i="22" s="1"/>
  <c r="BD158" i="15"/>
  <c r="AO158" i="15"/>
  <c r="BF158" i="15"/>
  <c r="AQ158" i="15"/>
  <c r="AM158" i="15"/>
  <c r="V158" i="15"/>
  <c r="AB158" i="15"/>
  <c r="BB158" i="15"/>
  <c r="X158" i="15"/>
  <c r="AK158" i="15"/>
  <c r="AZ158" i="15"/>
  <c r="Z158" i="15"/>
  <c r="R158" i="15"/>
  <c r="T158" i="15"/>
  <c r="F157" i="15"/>
  <c r="F150" i="22" s="1"/>
  <c r="AL158" i="15"/>
  <c r="BC158" i="15"/>
  <c r="BE158" i="15"/>
  <c r="AP158" i="15"/>
  <c r="AN158" i="15"/>
  <c r="BA158" i="15"/>
  <c r="U158" i="15"/>
  <c r="AA158" i="15"/>
  <c r="W158" i="15"/>
  <c r="AY158" i="15"/>
  <c r="AJ158" i="15"/>
  <c r="Y158" i="15"/>
  <c r="Q158" i="15"/>
  <c r="S158" i="15"/>
  <c r="D157" i="15"/>
  <c r="D150" i="22" s="1"/>
  <c r="G157" i="15"/>
  <c r="G150" i="22" s="1"/>
  <c r="L158" i="8"/>
  <c r="N158" i="8"/>
  <c r="P158" i="8"/>
  <c r="M158" i="8"/>
  <c r="O158" i="8"/>
  <c r="A159" i="8"/>
  <c r="K158" i="8"/>
  <c r="I158" i="8"/>
  <c r="G158" i="8"/>
  <c r="E158" i="8"/>
  <c r="C158" i="8"/>
  <c r="J158" i="8"/>
  <c r="H158" i="8"/>
  <c r="F158" i="8"/>
  <c r="D158" i="8"/>
  <c r="B158" i="8"/>
  <c r="A160" i="1"/>
  <c r="M159" i="1"/>
  <c r="O159" i="1"/>
  <c r="L159" i="1"/>
  <c r="N159" i="1"/>
  <c r="P159" i="1"/>
  <c r="H159" i="1"/>
  <c r="J159" i="1"/>
  <c r="G159" i="1"/>
  <c r="I159" i="1"/>
  <c r="K159" i="1"/>
  <c r="C159" i="1"/>
  <c r="E159" i="1"/>
  <c r="B159" i="1"/>
  <c r="D159" i="1"/>
  <c r="F159" i="1"/>
  <c r="D180" i="28" l="1"/>
  <c r="C180" i="28"/>
  <c r="D158" i="15"/>
  <c r="D151" i="22" s="1"/>
  <c r="F158" i="15"/>
  <c r="F151" i="22" s="1"/>
  <c r="E158" i="15"/>
  <c r="E151" i="22" s="1"/>
  <c r="G158" i="15"/>
  <c r="G151" i="22" s="1"/>
  <c r="AM159" i="15"/>
  <c r="BD159" i="15"/>
  <c r="AO159" i="15"/>
  <c r="BB159" i="15"/>
  <c r="BF159" i="15"/>
  <c r="AQ159" i="15"/>
  <c r="V159" i="15"/>
  <c r="AB159" i="15"/>
  <c r="X159" i="15"/>
  <c r="AK159" i="15"/>
  <c r="AZ159" i="15"/>
  <c r="R159" i="15"/>
  <c r="Z159" i="15"/>
  <c r="T159" i="15"/>
  <c r="AN159" i="15"/>
  <c r="BE159" i="15"/>
  <c r="AP159" i="15"/>
  <c r="AL159" i="15"/>
  <c r="AA159" i="15"/>
  <c r="BC159" i="15"/>
  <c r="U159" i="15"/>
  <c r="BA159" i="15"/>
  <c r="W159" i="15"/>
  <c r="AY159" i="15"/>
  <c r="AJ159" i="15"/>
  <c r="Y159" i="15"/>
  <c r="Q159" i="15"/>
  <c r="S159" i="15"/>
  <c r="L159" i="8"/>
  <c r="N159" i="8"/>
  <c r="P159" i="8"/>
  <c r="M159" i="8"/>
  <c r="O159" i="8"/>
  <c r="A160" i="8"/>
  <c r="K159" i="8"/>
  <c r="I159" i="8"/>
  <c r="G159" i="8"/>
  <c r="E159" i="8"/>
  <c r="C159" i="8"/>
  <c r="J159" i="8"/>
  <c r="H159" i="8"/>
  <c r="F159" i="8"/>
  <c r="D159" i="8"/>
  <c r="B159" i="8"/>
  <c r="A161" i="1"/>
  <c r="M160" i="1"/>
  <c r="N160" i="1"/>
  <c r="P160" i="1"/>
  <c r="O160" i="1"/>
  <c r="L160" i="1"/>
  <c r="H160" i="1"/>
  <c r="J160" i="1"/>
  <c r="G160" i="1"/>
  <c r="I160" i="1"/>
  <c r="K160" i="1"/>
  <c r="C160" i="1"/>
  <c r="E160" i="1"/>
  <c r="B160" i="1"/>
  <c r="F160" i="1"/>
  <c r="D160" i="1"/>
  <c r="D181" i="28" l="1"/>
  <c r="C181" i="28"/>
  <c r="G159" i="15"/>
  <c r="G152" i="22" s="1"/>
  <c r="F159" i="15"/>
  <c r="F152" i="22" s="1"/>
  <c r="BD160" i="15"/>
  <c r="BB160" i="15"/>
  <c r="AM160" i="15"/>
  <c r="AO160" i="15"/>
  <c r="AQ160" i="15"/>
  <c r="AB160" i="15"/>
  <c r="V160" i="15"/>
  <c r="BF160" i="15"/>
  <c r="X160" i="15"/>
  <c r="AK160" i="15"/>
  <c r="AZ160" i="15"/>
  <c r="Z160" i="15"/>
  <c r="R160" i="15"/>
  <c r="T160" i="15"/>
  <c r="BC160" i="15"/>
  <c r="AP160" i="15"/>
  <c r="AL160" i="15"/>
  <c r="BE160" i="15"/>
  <c r="BA160" i="15"/>
  <c r="AN160" i="15"/>
  <c r="U160" i="15"/>
  <c r="AA160" i="15"/>
  <c r="W160" i="15"/>
  <c r="AJ160" i="15"/>
  <c r="AY160" i="15"/>
  <c r="Q160" i="15"/>
  <c r="Y160" i="15"/>
  <c r="S160" i="15"/>
  <c r="D159" i="15"/>
  <c r="D152" i="22" s="1"/>
  <c r="E159" i="15"/>
  <c r="E152" i="22" s="1"/>
  <c r="L160" i="8"/>
  <c r="N160" i="8"/>
  <c r="P160" i="8"/>
  <c r="M160" i="8"/>
  <c r="O160" i="8"/>
  <c r="A161" i="8"/>
  <c r="K160" i="8"/>
  <c r="I160" i="8"/>
  <c r="G160" i="8"/>
  <c r="E160" i="8"/>
  <c r="C160" i="8"/>
  <c r="J160" i="8"/>
  <c r="H160" i="8"/>
  <c r="F160" i="8"/>
  <c r="D160" i="8"/>
  <c r="B160" i="8"/>
  <c r="A162" i="1"/>
  <c r="M161" i="1"/>
  <c r="O161" i="1"/>
  <c r="L161" i="1"/>
  <c r="N161" i="1"/>
  <c r="P161" i="1"/>
  <c r="H161" i="1"/>
  <c r="J161" i="1"/>
  <c r="G161" i="1"/>
  <c r="I161" i="1"/>
  <c r="K161" i="1"/>
  <c r="C161" i="1"/>
  <c r="E161" i="1"/>
  <c r="B161" i="1"/>
  <c r="D161" i="1"/>
  <c r="F161" i="1"/>
  <c r="D182" i="28" l="1"/>
  <c r="C182" i="28"/>
  <c r="E160" i="15"/>
  <c r="E153" i="22" s="1"/>
  <c r="D160" i="15"/>
  <c r="D153" i="22" s="1"/>
  <c r="AM161" i="15"/>
  <c r="BD161" i="15"/>
  <c r="BF161" i="15"/>
  <c r="BB161" i="15"/>
  <c r="AQ161" i="15"/>
  <c r="AO161" i="15"/>
  <c r="V161" i="15"/>
  <c r="AB161" i="15"/>
  <c r="X161" i="15"/>
  <c r="AZ161" i="15"/>
  <c r="AK161" i="15"/>
  <c r="R161" i="15"/>
  <c r="Z161" i="15"/>
  <c r="T161" i="15"/>
  <c r="F160" i="15"/>
  <c r="F153" i="22" s="1"/>
  <c r="BA161" i="15"/>
  <c r="BC161" i="15"/>
  <c r="BE161" i="15"/>
  <c r="AN161" i="15"/>
  <c r="AA161" i="15"/>
  <c r="U161" i="15"/>
  <c r="AL161" i="15"/>
  <c r="AP161" i="15"/>
  <c r="W161" i="15"/>
  <c r="AJ161" i="15"/>
  <c r="AY161" i="15"/>
  <c r="Y161" i="15"/>
  <c r="Q161" i="15"/>
  <c r="S161" i="15"/>
  <c r="G160" i="15"/>
  <c r="G153" i="22" s="1"/>
  <c r="L161" i="8"/>
  <c r="N161" i="8"/>
  <c r="P161" i="8"/>
  <c r="M161" i="8"/>
  <c r="O161" i="8"/>
  <c r="A162" i="8"/>
  <c r="K161" i="8"/>
  <c r="I161" i="8"/>
  <c r="G161" i="8"/>
  <c r="E161" i="8"/>
  <c r="C161" i="8"/>
  <c r="J161" i="8"/>
  <c r="H161" i="8"/>
  <c r="F161" i="8"/>
  <c r="D161" i="8"/>
  <c r="B161" i="8"/>
  <c r="A163" i="1"/>
  <c r="M162" i="1"/>
  <c r="N162" i="1"/>
  <c r="P162" i="1"/>
  <c r="O162" i="1"/>
  <c r="L162" i="1"/>
  <c r="H162" i="1"/>
  <c r="J162" i="1"/>
  <c r="G162" i="1"/>
  <c r="I162" i="1"/>
  <c r="K162" i="1"/>
  <c r="C162" i="1"/>
  <c r="E162" i="1"/>
  <c r="B162" i="1"/>
  <c r="F162" i="1"/>
  <c r="D162" i="1"/>
  <c r="D183" i="28" l="1"/>
  <c r="C183" i="28"/>
  <c r="G161" i="15"/>
  <c r="G154" i="22" s="1"/>
  <c r="D161" i="15"/>
  <c r="D154" i="22" s="1"/>
  <c r="AQ162" i="15"/>
  <c r="AO162" i="15"/>
  <c r="AM162" i="15"/>
  <c r="BF162" i="15"/>
  <c r="BD162" i="15"/>
  <c r="AB162" i="15"/>
  <c r="V162" i="15"/>
  <c r="BB162" i="15"/>
  <c r="X162" i="15"/>
  <c r="AZ162" i="15"/>
  <c r="AK162" i="15"/>
  <c r="R162" i="15"/>
  <c r="Z162" i="15"/>
  <c r="T162" i="15"/>
  <c r="AL162" i="15"/>
  <c r="AN162" i="15"/>
  <c r="BC162" i="15"/>
  <c r="BE162" i="15"/>
  <c r="AP162" i="15"/>
  <c r="U162" i="15"/>
  <c r="AA162" i="15"/>
  <c r="BA162" i="15"/>
  <c r="W162" i="15"/>
  <c r="AY162" i="15"/>
  <c r="AJ162" i="15"/>
  <c r="Q162" i="15"/>
  <c r="Y162" i="15"/>
  <c r="S162" i="15"/>
  <c r="F161" i="15"/>
  <c r="F154" i="22" s="1"/>
  <c r="E161" i="15"/>
  <c r="E154" i="22" s="1"/>
  <c r="L162" i="8"/>
  <c r="N162" i="8"/>
  <c r="P162" i="8"/>
  <c r="M162" i="8"/>
  <c r="O162" i="8"/>
  <c r="A163" i="8"/>
  <c r="K162" i="8"/>
  <c r="I162" i="8"/>
  <c r="G162" i="8"/>
  <c r="E162" i="8"/>
  <c r="C162" i="8"/>
  <c r="J162" i="8"/>
  <c r="H162" i="8"/>
  <c r="F162" i="8"/>
  <c r="D162" i="8"/>
  <c r="B162" i="8"/>
  <c r="A164" i="1"/>
  <c r="M163" i="1"/>
  <c r="O163" i="1"/>
  <c r="L163" i="1"/>
  <c r="N163" i="1"/>
  <c r="P163" i="1"/>
  <c r="H163" i="1"/>
  <c r="J163" i="1"/>
  <c r="G163" i="1"/>
  <c r="I163" i="1"/>
  <c r="K163" i="1"/>
  <c r="C163" i="1"/>
  <c r="E163" i="1"/>
  <c r="B163" i="1"/>
  <c r="D163" i="1"/>
  <c r="F163" i="1"/>
  <c r="D184" i="28" l="1"/>
  <c r="C184" i="28"/>
  <c r="G162" i="15"/>
  <c r="G155" i="22" s="1"/>
  <c r="BC163" i="15"/>
  <c r="AP163" i="15"/>
  <c r="AL163" i="15"/>
  <c r="BE163" i="15"/>
  <c r="AN163" i="15"/>
  <c r="AA163" i="15"/>
  <c r="BA163" i="15"/>
  <c r="U163" i="15"/>
  <c r="W163" i="15"/>
  <c r="AY163" i="15"/>
  <c r="AJ163" i="15"/>
  <c r="Y163" i="15"/>
  <c r="Q163" i="15"/>
  <c r="S163" i="15"/>
  <c r="D162" i="15"/>
  <c r="D155" i="22" s="1"/>
  <c r="BD163" i="15"/>
  <c r="AM163" i="15"/>
  <c r="AO163" i="15"/>
  <c r="BB163" i="15"/>
  <c r="BF163" i="15"/>
  <c r="AQ163" i="15"/>
  <c r="V163" i="15"/>
  <c r="AB163" i="15"/>
  <c r="X163" i="15"/>
  <c r="AZ163" i="15"/>
  <c r="AK163" i="15"/>
  <c r="Z163" i="15"/>
  <c r="R163" i="15"/>
  <c r="T163" i="15"/>
  <c r="E162" i="15"/>
  <c r="E155" i="22" s="1"/>
  <c r="F162" i="15"/>
  <c r="F155" i="22" s="1"/>
  <c r="L163" i="8"/>
  <c r="N163" i="8"/>
  <c r="P163" i="8"/>
  <c r="M163" i="8"/>
  <c r="O163" i="8"/>
  <c r="A164" i="8"/>
  <c r="K163" i="8"/>
  <c r="I163" i="8"/>
  <c r="G163" i="8"/>
  <c r="E163" i="8"/>
  <c r="C163" i="8"/>
  <c r="J163" i="8"/>
  <c r="H163" i="8"/>
  <c r="F163" i="8"/>
  <c r="D163" i="8"/>
  <c r="B163" i="8"/>
  <c r="A165" i="1"/>
  <c r="M164" i="1"/>
  <c r="N164" i="1"/>
  <c r="P164" i="1"/>
  <c r="O164" i="1"/>
  <c r="L164" i="1"/>
  <c r="H164" i="1"/>
  <c r="J164" i="1"/>
  <c r="G164" i="1"/>
  <c r="I164" i="1"/>
  <c r="K164" i="1"/>
  <c r="C164" i="1"/>
  <c r="E164" i="1"/>
  <c r="B164" i="1"/>
  <c r="F164" i="1"/>
  <c r="D164" i="1"/>
  <c r="D185" i="28" l="1"/>
  <c r="C185" i="28"/>
  <c r="E163" i="15"/>
  <c r="F163" i="15"/>
  <c r="AQ164" i="15"/>
  <c r="AM164" i="15"/>
  <c r="BB164" i="15"/>
  <c r="BD164" i="15"/>
  <c r="AO164" i="15"/>
  <c r="BF164" i="15"/>
  <c r="V164" i="15"/>
  <c r="AB164" i="15"/>
  <c r="X164" i="15"/>
  <c r="AZ164" i="15"/>
  <c r="AK164" i="15"/>
  <c r="Z164" i="15"/>
  <c r="R164" i="15"/>
  <c r="T164" i="15"/>
  <c r="G163" i="15"/>
  <c r="AP164" i="15"/>
  <c r="BC164" i="15"/>
  <c r="AN164" i="15"/>
  <c r="AL164" i="15"/>
  <c r="BE164" i="15"/>
  <c r="BA164" i="15"/>
  <c r="U164" i="15"/>
  <c r="AA164" i="15"/>
  <c r="W164" i="15"/>
  <c r="AY164" i="15"/>
  <c r="AJ164" i="15"/>
  <c r="Q164" i="15"/>
  <c r="Y164" i="15"/>
  <c r="S164" i="15"/>
  <c r="D163" i="15"/>
  <c r="L164" i="8"/>
  <c r="N164" i="8"/>
  <c r="P164" i="8"/>
  <c r="M164" i="8"/>
  <c r="O164" i="8"/>
  <c r="A165" i="8"/>
  <c r="K164" i="8"/>
  <c r="I164" i="8"/>
  <c r="G164" i="8"/>
  <c r="E164" i="8"/>
  <c r="C164" i="8"/>
  <c r="J164" i="8"/>
  <c r="H164" i="8"/>
  <c r="F164" i="8"/>
  <c r="D164" i="8"/>
  <c r="B164" i="8"/>
  <c r="A166" i="1"/>
  <c r="M165" i="1"/>
  <c r="O165" i="1"/>
  <c r="L165" i="1"/>
  <c r="N165" i="1"/>
  <c r="P165" i="1"/>
  <c r="H165" i="1"/>
  <c r="J165" i="1"/>
  <c r="G165" i="1"/>
  <c r="I165" i="1"/>
  <c r="K165" i="1"/>
  <c r="C165" i="1"/>
  <c r="E165" i="1"/>
  <c r="B165" i="1"/>
  <c r="D165" i="1"/>
  <c r="F165" i="1"/>
  <c r="C186" i="28" l="1"/>
  <c r="D186" i="28"/>
  <c r="F164" i="15"/>
  <c r="D164" i="15"/>
  <c r="G164" i="15"/>
  <c r="AM165" i="15"/>
  <c r="BB165" i="15"/>
  <c r="AO165" i="15"/>
  <c r="AB165" i="15"/>
  <c r="AQ165" i="15"/>
  <c r="BD165" i="15"/>
  <c r="BF165" i="15"/>
  <c r="V165" i="15"/>
  <c r="X165" i="15"/>
  <c r="AK165" i="15"/>
  <c r="AZ165" i="15"/>
  <c r="Z165" i="15"/>
  <c r="R165" i="15"/>
  <c r="T165" i="15"/>
  <c r="E164" i="15"/>
  <c r="BC165" i="15"/>
  <c r="AL165" i="15"/>
  <c r="AP165" i="15"/>
  <c r="BA165" i="15"/>
  <c r="AN165" i="15"/>
  <c r="BE165" i="15"/>
  <c r="U165" i="15"/>
  <c r="AA165" i="15"/>
  <c r="W165" i="15"/>
  <c r="AY165" i="15"/>
  <c r="AJ165" i="15"/>
  <c r="Y165" i="15"/>
  <c r="Q165" i="15"/>
  <c r="S165" i="15"/>
  <c r="L165" i="8"/>
  <c r="N165" i="8"/>
  <c r="P165" i="8"/>
  <c r="M165" i="8"/>
  <c r="O165" i="8"/>
  <c r="A166" i="8"/>
  <c r="K165" i="8"/>
  <c r="I165" i="8"/>
  <c r="G165" i="8"/>
  <c r="E165" i="8"/>
  <c r="C165" i="8"/>
  <c r="J165" i="8"/>
  <c r="H165" i="8"/>
  <c r="F165" i="8"/>
  <c r="D165" i="8"/>
  <c r="B165" i="8"/>
  <c r="A167" i="1"/>
  <c r="M166" i="1"/>
  <c r="N166" i="1"/>
  <c r="P166" i="1"/>
  <c r="O166" i="1"/>
  <c r="L166" i="1"/>
  <c r="H166" i="1"/>
  <c r="J166" i="1"/>
  <c r="G166" i="1"/>
  <c r="I166" i="1"/>
  <c r="K166" i="1"/>
  <c r="C166" i="1"/>
  <c r="E166" i="1"/>
  <c r="B166" i="1"/>
  <c r="F166" i="1"/>
  <c r="D166" i="1"/>
  <c r="D187" i="28" l="1"/>
  <c r="C187" i="28"/>
  <c r="F165" i="15"/>
  <c r="AL166" i="15"/>
  <c r="BC166" i="15"/>
  <c r="AP166" i="15"/>
  <c r="BA166" i="15"/>
  <c r="BE166" i="15"/>
  <c r="AA166" i="15"/>
  <c r="AN166" i="15"/>
  <c r="U166" i="15"/>
  <c r="W166" i="15"/>
  <c r="AY166" i="15"/>
  <c r="AJ166" i="15"/>
  <c r="Y166" i="15"/>
  <c r="Q166" i="15"/>
  <c r="S166" i="15"/>
  <c r="D165" i="15"/>
  <c r="E165" i="15"/>
  <c r="G165" i="15"/>
  <c r="AQ166" i="15"/>
  <c r="BD166" i="15"/>
  <c r="BF166" i="15"/>
  <c r="AM166" i="15"/>
  <c r="BB166" i="15"/>
  <c r="AB166" i="15"/>
  <c r="AO166" i="15"/>
  <c r="V166" i="15"/>
  <c r="X166" i="15"/>
  <c r="AK166" i="15"/>
  <c r="AZ166" i="15"/>
  <c r="Z166" i="15"/>
  <c r="R166" i="15"/>
  <c r="T166" i="15"/>
  <c r="L166" i="8"/>
  <c r="N166" i="8"/>
  <c r="P166" i="8"/>
  <c r="M166" i="8"/>
  <c r="O166" i="8"/>
  <c r="A167" i="8"/>
  <c r="K166" i="8"/>
  <c r="I166" i="8"/>
  <c r="G166" i="8"/>
  <c r="E166" i="8"/>
  <c r="C166" i="8"/>
  <c r="J166" i="8"/>
  <c r="H166" i="8"/>
  <c r="F166" i="8"/>
  <c r="D166" i="8"/>
  <c r="B166" i="8"/>
  <c r="A168" i="1"/>
  <c r="M167" i="1"/>
  <c r="O167" i="1"/>
  <c r="L167" i="1"/>
  <c r="N167" i="1"/>
  <c r="P167" i="1"/>
  <c r="H167" i="1"/>
  <c r="J167" i="1"/>
  <c r="G167" i="1"/>
  <c r="I167" i="1"/>
  <c r="K167" i="1"/>
  <c r="C167" i="1"/>
  <c r="E167" i="1"/>
  <c r="B167" i="1"/>
  <c r="D167" i="1"/>
  <c r="F167" i="1"/>
  <c r="D188" i="28" l="1"/>
  <c r="C188" i="28"/>
  <c r="F166" i="15"/>
  <c r="E166" i="15"/>
  <c r="D166" i="15"/>
  <c r="AQ167" i="15"/>
  <c r="AM167" i="15"/>
  <c r="BB167" i="15"/>
  <c r="AO167" i="15"/>
  <c r="V167" i="15"/>
  <c r="BF167" i="15"/>
  <c r="BD167" i="15"/>
  <c r="AB167" i="15"/>
  <c r="X167" i="15"/>
  <c r="AZ167" i="15"/>
  <c r="AK167" i="15"/>
  <c r="R167" i="15"/>
  <c r="Z167" i="15"/>
  <c r="T167" i="15"/>
  <c r="BC167" i="15"/>
  <c r="AN167" i="15"/>
  <c r="AP167" i="15"/>
  <c r="BE167" i="15"/>
  <c r="U167" i="15"/>
  <c r="BA167" i="15"/>
  <c r="AL167" i="15"/>
  <c r="AA167" i="15"/>
  <c r="W167" i="15"/>
  <c r="AY167" i="15"/>
  <c r="AJ167" i="15"/>
  <c r="Y167" i="15"/>
  <c r="Q167" i="15"/>
  <c r="S167" i="15"/>
  <c r="G166" i="15"/>
  <c r="L167" i="8"/>
  <c r="N167" i="8"/>
  <c r="P167" i="8"/>
  <c r="M167" i="8"/>
  <c r="O167" i="8"/>
  <c r="A168" i="8"/>
  <c r="K167" i="8"/>
  <c r="I167" i="8"/>
  <c r="G167" i="8"/>
  <c r="E167" i="8"/>
  <c r="C167" i="8"/>
  <c r="J167" i="8"/>
  <c r="H167" i="8"/>
  <c r="F167" i="8"/>
  <c r="D167" i="8"/>
  <c r="B167" i="8"/>
  <c r="A169" i="1"/>
  <c r="M168" i="1"/>
  <c r="N168" i="1"/>
  <c r="P168" i="1"/>
  <c r="O168" i="1"/>
  <c r="L168" i="1"/>
  <c r="H168" i="1"/>
  <c r="J168" i="1"/>
  <c r="G168" i="1"/>
  <c r="I168" i="1"/>
  <c r="K168" i="1"/>
  <c r="C168" i="1"/>
  <c r="E168" i="1"/>
  <c r="B168" i="1"/>
  <c r="F168" i="1"/>
  <c r="D168" i="1"/>
  <c r="D189" i="28" l="1"/>
  <c r="C189" i="28"/>
  <c r="G167" i="15"/>
  <c r="F167" i="15"/>
  <c r="BC168" i="15"/>
  <c r="AP168" i="15"/>
  <c r="AL168" i="15"/>
  <c r="AN168" i="15"/>
  <c r="BE168" i="15"/>
  <c r="BA168" i="15"/>
  <c r="AA168" i="15"/>
  <c r="U168" i="15"/>
  <c r="W168" i="15"/>
  <c r="AY168" i="15"/>
  <c r="AJ168" i="15"/>
  <c r="Y168" i="15"/>
  <c r="Q168" i="15"/>
  <c r="S168" i="15"/>
  <c r="BB168" i="15"/>
  <c r="AO168" i="15"/>
  <c r="AM168" i="15"/>
  <c r="V168" i="15"/>
  <c r="BF168" i="15"/>
  <c r="BD168" i="15"/>
  <c r="AB168" i="15"/>
  <c r="AQ168" i="15"/>
  <c r="X168" i="15"/>
  <c r="AZ168" i="15"/>
  <c r="AK168" i="15"/>
  <c r="Z168" i="15"/>
  <c r="R168" i="15"/>
  <c r="T168" i="15"/>
  <c r="E167" i="15"/>
  <c r="D167" i="15"/>
  <c r="L168" i="8"/>
  <c r="N168" i="8"/>
  <c r="P168" i="8"/>
  <c r="M168" i="8"/>
  <c r="O168" i="8"/>
  <c r="A169" i="8"/>
  <c r="K168" i="8"/>
  <c r="I168" i="8"/>
  <c r="G168" i="8"/>
  <c r="E168" i="8"/>
  <c r="C168" i="8"/>
  <c r="J168" i="8"/>
  <c r="H168" i="8"/>
  <c r="F168" i="8"/>
  <c r="D168" i="8"/>
  <c r="B168" i="8"/>
  <c r="A170" i="1"/>
  <c r="M169" i="1"/>
  <c r="O169" i="1"/>
  <c r="L169" i="1"/>
  <c r="N169" i="1"/>
  <c r="P169" i="1"/>
  <c r="H169" i="1"/>
  <c r="J169" i="1"/>
  <c r="G169" i="1"/>
  <c r="I169" i="1"/>
  <c r="K169" i="1"/>
  <c r="C169" i="1"/>
  <c r="E169" i="1"/>
  <c r="B169" i="1"/>
  <c r="D169" i="1"/>
  <c r="F169" i="1"/>
  <c r="D190" i="28" l="1"/>
  <c r="C190" i="28"/>
  <c r="G168" i="15"/>
  <c r="F168" i="15"/>
  <c r="AQ169" i="15"/>
  <c r="BD169" i="15"/>
  <c r="AM169" i="15"/>
  <c r="AO169" i="15"/>
  <c r="BF169" i="15"/>
  <c r="AB169" i="15"/>
  <c r="V169" i="15"/>
  <c r="BB169" i="15"/>
  <c r="X169" i="15"/>
  <c r="AZ169" i="15"/>
  <c r="AK169" i="15"/>
  <c r="Z169" i="15"/>
  <c r="R169" i="15"/>
  <c r="T169" i="15"/>
  <c r="BC169" i="15"/>
  <c r="AL169" i="15"/>
  <c r="BA169" i="15"/>
  <c r="AP169" i="15"/>
  <c r="AN169" i="15"/>
  <c r="BE169" i="15"/>
  <c r="AA169" i="15"/>
  <c r="U169" i="15"/>
  <c r="W169" i="15"/>
  <c r="AJ169" i="15"/>
  <c r="AY169" i="15"/>
  <c r="Q169" i="15"/>
  <c r="Y169" i="15"/>
  <c r="S169" i="15"/>
  <c r="E168" i="15"/>
  <c r="D168" i="15"/>
  <c r="L169" i="8"/>
  <c r="N169" i="8"/>
  <c r="P169" i="8"/>
  <c r="M169" i="8"/>
  <c r="O169" i="8"/>
  <c r="A170" i="8"/>
  <c r="K169" i="8"/>
  <c r="I169" i="8"/>
  <c r="G169" i="8"/>
  <c r="E169" i="8"/>
  <c r="C169" i="8"/>
  <c r="J169" i="8"/>
  <c r="H169" i="8"/>
  <c r="F169" i="8"/>
  <c r="D169" i="8"/>
  <c r="B169" i="8"/>
  <c r="A171" i="1"/>
  <c r="M170" i="1"/>
  <c r="N170" i="1"/>
  <c r="P170" i="1"/>
  <c r="O170" i="1"/>
  <c r="L170" i="1"/>
  <c r="H170" i="1"/>
  <c r="J170" i="1"/>
  <c r="G170" i="1"/>
  <c r="I170" i="1"/>
  <c r="K170" i="1"/>
  <c r="C170" i="1"/>
  <c r="E170" i="1"/>
  <c r="B170" i="1"/>
  <c r="F170" i="1"/>
  <c r="D170" i="1"/>
  <c r="D191" i="28" l="1"/>
  <c r="C191" i="28"/>
  <c r="D169" i="15"/>
  <c r="AO170" i="15"/>
  <c r="AM170" i="15"/>
  <c r="BF170" i="15"/>
  <c r="AQ170" i="15"/>
  <c r="BB170" i="15"/>
  <c r="V170" i="15"/>
  <c r="BD170" i="15"/>
  <c r="AB170" i="15"/>
  <c r="X170" i="15"/>
  <c r="AK170" i="15"/>
  <c r="AZ170" i="15"/>
  <c r="Z170" i="15"/>
  <c r="R170" i="15"/>
  <c r="T170" i="15"/>
  <c r="F169" i="15"/>
  <c r="G169" i="15"/>
  <c r="AL170" i="15"/>
  <c r="AP170" i="15"/>
  <c r="BA170" i="15"/>
  <c r="BE170" i="15"/>
  <c r="AN170" i="15"/>
  <c r="BC170" i="15"/>
  <c r="AA170" i="15"/>
  <c r="U170" i="15"/>
  <c r="W170" i="15"/>
  <c r="AJ170" i="15"/>
  <c r="AY170" i="15"/>
  <c r="Y170" i="15"/>
  <c r="Q170" i="15"/>
  <c r="S170" i="15"/>
  <c r="E169" i="15"/>
  <c r="L170" i="8"/>
  <c r="N170" i="8"/>
  <c r="P170" i="8"/>
  <c r="M170" i="8"/>
  <c r="O170" i="8"/>
  <c r="A171" i="8"/>
  <c r="K170" i="8"/>
  <c r="I170" i="8"/>
  <c r="G170" i="8"/>
  <c r="E170" i="8"/>
  <c r="C170" i="8"/>
  <c r="J170" i="8"/>
  <c r="H170" i="8"/>
  <c r="F170" i="8"/>
  <c r="D170" i="8"/>
  <c r="B170" i="8"/>
  <c r="A172" i="1"/>
  <c r="M171" i="1"/>
  <c r="O171" i="1"/>
  <c r="L171" i="1"/>
  <c r="N171" i="1"/>
  <c r="P171" i="1"/>
  <c r="H171" i="1"/>
  <c r="J171" i="1"/>
  <c r="G171" i="1"/>
  <c r="I171" i="1"/>
  <c r="K171" i="1"/>
  <c r="C171" i="1"/>
  <c r="E171" i="1"/>
  <c r="B171" i="1"/>
  <c r="D171" i="1"/>
  <c r="F171" i="1"/>
  <c r="D192" i="28" l="1"/>
  <c r="C192" i="28"/>
  <c r="E170" i="15"/>
  <c r="F170" i="15"/>
  <c r="G170" i="15"/>
  <c r="BD171" i="15"/>
  <c r="AQ171" i="15"/>
  <c r="AM171" i="15"/>
  <c r="AO171" i="15"/>
  <c r="AB171" i="15"/>
  <c r="BF171" i="15"/>
  <c r="V171" i="15"/>
  <c r="BB171" i="15"/>
  <c r="X171" i="15"/>
  <c r="AZ171" i="15"/>
  <c r="AK171" i="15"/>
  <c r="Z171" i="15"/>
  <c r="R171" i="15"/>
  <c r="T171" i="15"/>
  <c r="AP171" i="15"/>
  <c r="BC171" i="15"/>
  <c r="AL171" i="15"/>
  <c r="BE171" i="15"/>
  <c r="U171" i="15"/>
  <c r="BA171" i="15"/>
  <c r="AN171" i="15"/>
  <c r="AA171" i="15"/>
  <c r="W171" i="15"/>
  <c r="AY171" i="15"/>
  <c r="AJ171" i="15"/>
  <c r="Y171" i="15"/>
  <c r="Q171" i="15"/>
  <c r="S171" i="15"/>
  <c r="D170" i="15"/>
  <c r="L171" i="8"/>
  <c r="N171" i="8"/>
  <c r="P171" i="8"/>
  <c r="M171" i="8"/>
  <c r="O171" i="8"/>
  <c r="A172" i="8"/>
  <c r="K171" i="8"/>
  <c r="I171" i="8"/>
  <c r="G171" i="8"/>
  <c r="E171" i="8"/>
  <c r="C171" i="8"/>
  <c r="J171" i="8"/>
  <c r="H171" i="8"/>
  <c r="F171" i="8"/>
  <c r="D171" i="8"/>
  <c r="B171" i="8"/>
  <c r="A173" i="1"/>
  <c r="M172" i="1"/>
  <c r="N172" i="1"/>
  <c r="P172" i="1"/>
  <c r="O172" i="1"/>
  <c r="L172" i="1"/>
  <c r="H172" i="1"/>
  <c r="J172" i="1"/>
  <c r="G172" i="1"/>
  <c r="I172" i="1"/>
  <c r="K172" i="1"/>
  <c r="C172" i="1"/>
  <c r="E172" i="1"/>
  <c r="B172" i="1"/>
  <c r="F172" i="1"/>
  <c r="D172" i="1"/>
  <c r="D193" i="28" l="1"/>
  <c r="C193" i="28"/>
  <c r="G171" i="15"/>
  <c r="AP172" i="15"/>
  <c r="BA172" i="15"/>
  <c r="BC172" i="15"/>
  <c r="AA172" i="15"/>
  <c r="BE172" i="15"/>
  <c r="U172" i="15"/>
  <c r="AL172" i="15"/>
  <c r="AN172" i="15"/>
  <c r="W172" i="15"/>
  <c r="AY172" i="15"/>
  <c r="AJ172" i="15"/>
  <c r="Y172" i="15"/>
  <c r="Q172" i="15"/>
  <c r="S172" i="15"/>
  <c r="E171" i="15"/>
  <c r="F171" i="15"/>
  <c r="BD172" i="15"/>
  <c r="AQ172" i="15"/>
  <c r="BB172" i="15"/>
  <c r="AM172" i="15"/>
  <c r="AO172" i="15"/>
  <c r="BF172" i="15"/>
  <c r="AB172" i="15"/>
  <c r="V172" i="15"/>
  <c r="X172" i="15"/>
  <c r="AK172" i="15"/>
  <c r="AZ172" i="15"/>
  <c r="Z172" i="15"/>
  <c r="R172" i="15"/>
  <c r="T172" i="15"/>
  <c r="D171" i="15"/>
  <c r="L172" i="8"/>
  <c r="N172" i="8"/>
  <c r="P172" i="8"/>
  <c r="M172" i="8"/>
  <c r="O172" i="8"/>
  <c r="A173" i="8"/>
  <c r="K172" i="8"/>
  <c r="I172" i="8"/>
  <c r="G172" i="8"/>
  <c r="E172" i="8"/>
  <c r="C172" i="8"/>
  <c r="J172" i="8"/>
  <c r="H172" i="8"/>
  <c r="F172" i="8"/>
  <c r="D172" i="8"/>
  <c r="B172" i="8"/>
  <c r="A174" i="1"/>
  <c r="M173" i="1"/>
  <c r="O173" i="1"/>
  <c r="L173" i="1"/>
  <c r="N173" i="1"/>
  <c r="P173" i="1"/>
  <c r="H173" i="1"/>
  <c r="J173" i="1"/>
  <c r="G173" i="1"/>
  <c r="I173" i="1"/>
  <c r="K173" i="1"/>
  <c r="C173" i="1"/>
  <c r="E173" i="1"/>
  <c r="B173" i="1"/>
  <c r="D173" i="1"/>
  <c r="F173" i="1"/>
  <c r="D194" i="28" l="1"/>
  <c r="C194" i="28"/>
  <c r="AQ173" i="15"/>
  <c r="AM173" i="15"/>
  <c r="BD173" i="15"/>
  <c r="AO173" i="15"/>
  <c r="AB173" i="15"/>
  <c r="BF173" i="15"/>
  <c r="BB173" i="15"/>
  <c r="V173" i="15"/>
  <c r="X173" i="15"/>
  <c r="AZ173" i="15"/>
  <c r="AK173" i="15"/>
  <c r="R173" i="15"/>
  <c r="Z173" i="15"/>
  <c r="T173" i="15"/>
  <c r="E172" i="15"/>
  <c r="F172" i="15"/>
  <c r="G172" i="15"/>
  <c r="D172" i="15"/>
  <c r="AL173" i="15"/>
  <c r="AP173" i="15"/>
  <c r="BA173" i="15"/>
  <c r="AN173" i="15"/>
  <c r="U173" i="15"/>
  <c r="BE173" i="15"/>
  <c r="AA173" i="15"/>
  <c r="BC173" i="15"/>
  <c r="W173" i="15"/>
  <c r="AJ173" i="15"/>
  <c r="AY173" i="15"/>
  <c r="Q173" i="15"/>
  <c r="Y173" i="15"/>
  <c r="S173" i="15"/>
  <c r="L173" i="8"/>
  <c r="N173" i="8"/>
  <c r="P173" i="8"/>
  <c r="M173" i="8"/>
  <c r="O173" i="8"/>
  <c r="A174" i="8"/>
  <c r="K173" i="8"/>
  <c r="I173" i="8"/>
  <c r="G173" i="8"/>
  <c r="E173" i="8"/>
  <c r="C173" i="8"/>
  <c r="J173" i="8"/>
  <c r="H173" i="8"/>
  <c r="F173" i="8"/>
  <c r="D173" i="8"/>
  <c r="B173" i="8"/>
  <c r="A175" i="1"/>
  <c r="M174" i="1"/>
  <c r="N174" i="1"/>
  <c r="P174" i="1"/>
  <c r="O174" i="1"/>
  <c r="L174" i="1"/>
  <c r="H174" i="1"/>
  <c r="J174" i="1"/>
  <c r="G174" i="1"/>
  <c r="I174" i="1"/>
  <c r="K174" i="1"/>
  <c r="C174" i="1"/>
  <c r="E174" i="1"/>
  <c r="B174" i="1"/>
  <c r="F174" i="1"/>
  <c r="D174" i="1"/>
  <c r="C195" i="28" l="1"/>
  <c r="D195" i="28"/>
  <c r="G173" i="15"/>
  <c r="F173" i="15"/>
  <c r="AL174" i="15"/>
  <c r="BC174" i="15"/>
  <c r="BE174" i="15"/>
  <c r="AP174" i="15"/>
  <c r="AN174" i="15"/>
  <c r="BA174" i="15"/>
  <c r="U174" i="15"/>
  <c r="AA174" i="15"/>
  <c r="W174" i="15"/>
  <c r="AJ174" i="15"/>
  <c r="AY174" i="15"/>
  <c r="Y174" i="15"/>
  <c r="Q174" i="15"/>
  <c r="S174" i="15"/>
  <c r="E173" i="15"/>
  <c r="BD174" i="15"/>
  <c r="AO174" i="15"/>
  <c r="AQ174" i="15"/>
  <c r="BF174" i="15"/>
  <c r="AB174" i="15"/>
  <c r="BB174" i="15"/>
  <c r="AM174" i="15"/>
  <c r="V174" i="15"/>
  <c r="X174" i="15"/>
  <c r="AZ174" i="15"/>
  <c r="AK174" i="15"/>
  <c r="R174" i="15"/>
  <c r="Z174" i="15"/>
  <c r="T174" i="15"/>
  <c r="D173" i="15"/>
  <c r="L174" i="8"/>
  <c r="N174" i="8"/>
  <c r="P174" i="8"/>
  <c r="M174" i="8"/>
  <c r="O174" i="8"/>
  <c r="A175" i="8"/>
  <c r="K174" i="8"/>
  <c r="I174" i="8"/>
  <c r="G174" i="8"/>
  <c r="E174" i="8"/>
  <c r="C174" i="8"/>
  <c r="J174" i="8"/>
  <c r="H174" i="8"/>
  <c r="F174" i="8"/>
  <c r="D174" i="8"/>
  <c r="B174" i="8"/>
  <c r="A176" i="1"/>
  <c r="M175" i="1"/>
  <c r="O175" i="1"/>
  <c r="L175" i="1"/>
  <c r="N175" i="1"/>
  <c r="P175" i="1"/>
  <c r="H175" i="1"/>
  <c r="J175" i="1"/>
  <c r="G175" i="1"/>
  <c r="I175" i="1"/>
  <c r="K175" i="1"/>
  <c r="C175" i="1"/>
  <c r="E175" i="1"/>
  <c r="B175" i="1"/>
  <c r="D175" i="1"/>
  <c r="F175" i="1"/>
  <c r="D196" i="28" l="1"/>
  <c r="C196" i="28"/>
  <c r="G174" i="15"/>
  <c r="D174" i="15"/>
  <c r="F174" i="15"/>
  <c r="AM175" i="15"/>
  <c r="AQ175" i="15"/>
  <c r="BD175" i="15"/>
  <c r="AO175" i="15"/>
  <c r="BF175" i="15"/>
  <c r="BB175" i="15"/>
  <c r="AB175" i="15"/>
  <c r="V175" i="15"/>
  <c r="X175" i="15"/>
  <c r="AK175" i="15"/>
  <c r="AZ175" i="15"/>
  <c r="R175" i="15"/>
  <c r="Z175" i="15"/>
  <c r="T175" i="15"/>
  <c r="BC175" i="15"/>
  <c r="AN175" i="15"/>
  <c r="BE175" i="15"/>
  <c r="AL175" i="15"/>
  <c r="AP175" i="15"/>
  <c r="BA175" i="15"/>
  <c r="AA175" i="15"/>
  <c r="U175" i="15"/>
  <c r="W175" i="15"/>
  <c r="AY175" i="15"/>
  <c r="AJ175" i="15"/>
  <c r="Q175" i="15"/>
  <c r="Y175" i="15"/>
  <c r="S175" i="15"/>
  <c r="E174" i="15"/>
  <c r="L175" i="8"/>
  <c r="N175" i="8"/>
  <c r="P175" i="8"/>
  <c r="M175" i="8"/>
  <c r="O175" i="8"/>
  <c r="A176" i="8"/>
  <c r="K175" i="8"/>
  <c r="I175" i="8"/>
  <c r="G175" i="8"/>
  <c r="E175" i="8"/>
  <c r="C175" i="8"/>
  <c r="J175" i="8"/>
  <c r="H175" i="8"/>
  <c r="F175" i="8"/>
  <c r="D175" i="8"/>
  <c r="B175" i="8"/>
  <c r="A177" i="1"/>
  <c r="M176" i="1"/>
  <c r="N176" i="1"/>
  <c r="P176" i="1"/>
  <c r="O176" i="1"/>
  <c r="L176" i="1"/>
  <c r="H176" i="1"/>
  <c r="J176" i="1"/>
  <c r="G176" i="1"/>
  <c r="I176" i="1"/>
  <c r="K176" i="1"/>
  <c r="C176" i="1"/>
  <c r="E176" i="1"/>
  <c r="B176" i="1"/>
  <c r="F176" i="1"/>
  <c r="D176" i="1"/>
  <c r="D197" i="28" l="1"/>
  <c r="C197" i="28"/>
  <c r="G175" i="15"/>
  <c r="BD176" i="15"/>
  <c r="AM176" i="15"/>
  <c r="BB176" i="15"/>
  <c r="AQ176" i="15"/>
  <c r="BF176" i="15"/>
  <c r="AB176" i="15"/>
  <c r="V176" i="15"/>
  <c r="AO176" i="15"/>
  <c r="X176" i="15"/>
  <c r="AZ176" i="15"/>
  <c r="AK176" i="15"/>
  <c r="R176" i="15"/>
  <c r="Z176" i="15"/>
  <c r="T176" i="15"/>
  <c r="D175" i="15"/>
  <c r="AP176" i="15"/>
  <c r="AL176" i="15"/>
  <c r="BA176" i="15"/>
  <c r="BE176" i="15"/>
  <c r="U176" i="15"/>
  <c r="AA176" i="15"/>
  <c r="BC176" i="15"/>
  <c r="AN176" i="15"/>
  <c r="W176" i="15"/>
  <c r="AJ176" i="15"/>
  <c r="AY176" i="15"/>
  <c r="Y176" i="15"/>
  <c r="Q176" i="15"/>
  <c r="S176" i="15"/>
  <c r="F175" i="15"/>
  <c r="E175" i="15"/>
  <c r="L176" i="8"/>
  <c r="N176" i="8"/>
  <c r="P176" i="8"/>
  <c r="M176" i="8"/>
  <c r="O176" i="8"/>
  <c r="A177" i="8"/>
  <c r="K176" i="8"/>
  <c r="I176" i="8"/>
  <c r="G176" i="8"/>
  <c r="E176" i="8"/>
  <c r="C176" i="8"/>
  <c r="J176" i="8"/>
  <c r="H176" i="8"/>
  <c r="F176" i="8"/>
  <c r="D176" i="8"/>
  <c r="B176" i="8"/>
  <c r="A178" i="1"/>
  <c r="M177" i="1"/>
  <c r="O177" i="1"/>
  <c r="L177" i="1"/>
  <c r="N177" i="1"/>
  <c r="P177" i="1"/>
  <c r="H177" i="1"/>
  <c r="J177" i="1"/>
  <c r="G177" i="1"/>
  <c r="I177" i="1"/>
  <c r="K177" i="1"/>
  <c r="C177" i="1"/>
  <c r="E177" i="1"/>
  <c r="B177" i="1"/>
  <c r="D177" i="1"/>
  <c r="F177" i="1"/>
  <c r="D198" i="28" l="1"/>
  <c r="C198" i="28"/>
  <c r="F176" i="15"/>
  <c r="D176" i="15"/>
  <c r="E176" i="15"/>
  <c r="BD177" i="15"/>
  <c r="AM177" i="15"/>
  <c r="AQ177" i="15"/>
  <c r="BF177" i="15"/>
  <c r="BB177" i="15"/>
  <c r="AB177" i="15"/>
  <c r="V177" i="15"/>
  <c r="AO177" i="15"/>
  <c r="X177" i="15"/>
  <c r="AZ177" i="15"/>
  <c r="AK177" i="15"/>
  <c r="Z177" i="15"/>
  <c r="R177" i="15"/>
  <c r="T177" i="15"/>
  <c r="BC177" i="15"/>
  <c r="BA177" i="15"/>
  <c r="AL177" i="15"/>
  <c r="AA177" i="15"/>
  <c r="AP177" i="15"/>
  <c r="BE177" i="15"/>
  <c r="AN177" i="15"/>
  <c r="U177" i="15"/>
  <c r="W177" i="15"/>
  <c r="AJ177" i="15"/>
  <c r="AY177" i="15"/>
  <c r="Y177" i="15"/>
  <c r="Q177" i="15"/>
  <c r="S177" i="15"/>
  <c r="G176" i="15"/>
  <c r="L177" i="8"/>
  <c r="N177" i="8"/>
  <c r="P177" i="8"/>
  <c r="M177" i="8"/>
  <c r="O177" i="8"/>
  <c r="A178" i="8"/>
  <c r="K177" i="8"/>
  <c r="I177" i="8"/>
  <c r="J177" i="8"/>
  <c r="G177" i="8"/>
  <c r="E177" i="8"/>
  <c r="C177" i="8"/>
  <c r="H177" i="8"/>
  <c r="F177" i="8"/>
  <c r="D177" i="8"/>
  <c r="B177" i="8"/>
  <c r="A179" i="1"/>
  <c r="M178" i="1"/>
  <c r="N178" i="1"/>
  <c r="P178" i="1"/>
  <c r="O178" i="1"/>
  <c r="L178" i="1"/>
  <c r="H178" i="1"/>
  <c r="J178" i="1"/>
  <c r="G178" i="1"/>
  <c r="I178" i="1"/>
  <c r="K178" i="1"/>
  <c r="C178" i="1"/>
  <c r="E178" i="1"/>
  <c r="B178" i="1"/>
  <c r="F178" i="1"/>
  <c r="D178" i="1"/>
  <c r="D199" i="28" l="1"/>
  <c r="C199" i="28"/>
  <c r="D177" i="15"/>
  <c r="F177" i="15"/>
  <c r="G177" i="15"/>
  <c r="AQ178" i="15"/>
  <c r="AM178" i="15"/>
  <c r="BF178" i="15"/>
  <c r="BD178" i="15"/>
  <c r="BB178" i="15"/>
  <c r="V178" i="15"/>
  <c r="AB178" i="15"/>
  <c r="AO178" i="15"/>
  <c r="X178" i="15"/>
  <c r="AK178" i="15"/>
  <c r="AZ178" i="15"/>
  <c r="Z178" i="15"/>
  <c r="R178" i="15"/>
  <c r="T178" i="15"/>
  <c r="AL178" i="15"/>
  <c r="BC178" i="15"/>
  <c r="AN178" i="15"/>
  <c r="BE178" i="15"/>
  <c r="U178" i="15"/>
  <c r="BA178" i="15"/>
  <c r="AA178" i="15"/>
  <c r="AP178" i="15"/>
  <c r="W178" i="15"/>
  <c r="AY178" i="15"/>
  <c r="AJ178" i="15"/>
  <c r="Y178" i="15"/>
  <c r="Q178" i="15"/>
  <c r="S178" i="15"/>
  <c r="E177" i="15"/>
  <c r="L178" i="8"/>
  <c r="N178" i="8"/>
  <c r="P178" i="8"/>
  <c r="M178" i="8"/>
  <c r="O178" i="8"/>
  <c r="A179" i="8"/>
  <c r="K178" i="8"/>
  <c r="I178" i="8"/>
  <c r="G178" i="8"/>
  <c r="E178" i="8"/>
  <c r="C178" i="8"/>
  <c r="H178" i="8"/>
  <c r="D178" i="8"/>
  <c r="J178" i="8"/>
  <c r="F178" i="8"/>
  <c r="B178" i="8"/>
  <c r="A180" i="1"/>
  <c r="M179" i="1"/>
  <c r="O179" i="1"/>
  <c r="L179" i="1"/>
  <c r="N179" i="1"/>
  <c r="P179" i="1"/>
  <c r="H179" i="1"/>
  <c r="J179" i="1"/>
  <c r="G179" i="1"/>
  <c r="I179" i="1"/>
  <c r="K179" i="1"/>
  <c r="C179" i="1"/>
  <c r="E179" i="1"/>
  <c r="B179" i="1"/>
  <c r="D179" i="1"/>
  <c r="F179" i="1"/>
  <c r="G178" i="15" l="1"/>
  <c r="D200" i="28"/>
  <c r="C200" i="28"/>
  <c r="F178" i="15"/>
  <c r="D178" i="15"/>
  <c r="BD179" i="15"/>
  <c r="V179" i="15"/>
  <c r="AQ179" i="15"/>
  <c r="AO179" i="15"/>
  <c r="AB179" i="15"/>
  <c r="BF179" i="15"/>
  <c r="AM179" i="15"/>
  <c r="BB179" i="15"/>
  <c r="X179" i="15"/>
  <c r="AK179" i="15"/>
  <c r="AZ179" i="15"/>
  <c r="R179" i="15"/>
  <c r="Z179" i="15"/>
  <c r="T179" i="15"/>
  <c r="AP179" i="15"/>
  <c r="BC179" i="15"/>
  <c r="AL179" i="15"/>
  <c r="BA179" i="15"/>
  <c r="AN179" i="15"/>
  <c r="BE179" i="15"/>
  <c r="U179" i="15"/>
  <c r="AA179" i="15"/>
  <c r="W179" i="15"/>
  <c r="AY179" i="15"/>
  <c r="AJ179" i="15"/>
  <c r="Y179" i="15"/>
  <c r="Q179" i="15"/>
  <c r="S179" i="15"/>
  <c r="E178" i="15"/>
  <c r="L179" i="8"/>
  <c r="N179" i="8"/>
  <c r="P179" i="8"/>
  <c r="M179" i="8"/>
  <c r="O179" i="8"/>
  <c r="A180" i="8"/>
  <c r="K179" i="8"/>
  <c r="I179" i="8"/>
  <c r="G179" i="8"/>
  <c r="E179" i="8"/>
  <c r="C179" i="8"/>
  <c r="J179" i="8"/>
  <c r="H179" i="8"/>
  <c r="F179" i="8"/>
  <c r="D179" i="8"/>
  <c r="B179" i="8"/>
  <c r="A181" i="1"/>
  <c r="M180" i="1"/>
  <c r="N180" i="1"/>
  <c r="P180" i="1"/>
  <c r="O180" i="1"/>
  <c r="L180" i="1"/>
  <c r="H180" i="1"/>
  <c r="J180" i="1"/>
  <c r="G180" i="1"/>
  <c r="I180" i="1"/>
  <c r="K180" i="1"/>
  <c r="C180" i="1"/>
  <c r="E180" i="1"/>
  <c r="B180" i="1"/>
  <c r="F180" i="1"/>
  <c r="D180" i="1"/>
  <c r="C201" i="28" l="1"/>
  <c r="D201" i="28"/>
  <c r="F179" i="15"/>
  <c r="D179" i="15"/>
  <c r="AM180" i="15"/>
  <c r="AQ180" i="15"/>
  <c r="BB180" i="15"/>
  <c r="BD180" i="15"/>
  <c r="AO180" i="15"/>
  <c r="BF180" i="15"/>
  <c r="AB180" i="15"/>
  <c r="V180" i="15"/>
  <c r="X180" i="15"/>
  <c r="AZ180" i="15"/>
  <c r="AK180" i="15"/>
  <c r="R180" i="15"/>
  <c r="Z180" i="15"/>
  <c r="T180" i="15"/>
  <c r="AP180" i="15"/>
  <c r="BA180" i="15"/>
  <c r="AN180" i="15"/>
  <c r="BC180" i="15"/>
  <c r="AL180" i="15"/>
  <c r="BE180" i="15"/>
  <c r="U180" i="15"/>
  <c r="AA180" i="15"/>
  <c r="W180" i="15"/>
  <c r="AY180" i="15"/>
  <c r="AJ180" i="15"/>
  <c r="Y180" i="15"/>
  <c r="Q180" i="15"/>
  <c r="S180" i="15"/>
  <c r="E179" i="15"/>
  <c r="G179" i="15"/>
  <c r="L180" i="8"/>
  <c r="N180" i="8"/>
  <c r="P180" i="8"/>
  <c r="M180" i="8"/>
  <c r="O180" i="8"/>
  <c r="A181" i="8"/>
  <c r="K180" i="8"/>
  <c r="I180" i="8"/>
  <c r="G180" i="8"/>
  <c r="E180" i="8"/>
  <c r="C180" i="8"/>
  <c r="J180" i="8"/>
  <c r="H180" i="8"/>
  <c r="F180" i="8"/>
  <c r="D180" i="8"/>
  <c r="B180" i="8"/>
  <c r="A182" i="1"/>
  <c r="M181" i="1"/>
  <c r="O181" i="1"/>
  <c r="L181" i="1"/>
  <c r="N181" i="1"/>
  <c r="P181" i="1"/>
  <c r="H181" i="1"/>
  <c r="J181" i="1"/>
  <c r="G181" i="1"/>
  <c r="I181" i="1"/>
  <c r="K181" i="1"/>
  <c r="C181" i="1"/>
  <c r="E181" i="1"/>
  <c r="B181" i="1"/>
  <c r="D181" i="1"/>
  <c r="F181" i="1"/>
  <c r="D202" i="28" l="1"/>
  <c r="C202" i="28"/>
  <c r="G180" i="15"/>
  <c r="AM181" i="15"/>
  <c r="AQ181" i="15"/>
  <c r="AO181" i="15"/>
  <c r="BF181" i="15"/>
  <c r="AB181" i="15"/>
  <c r="BB181" i="15"/>
  <c r="BD181" i="15"/>
  <c r="V181" i="15"/>
  <c r="X181" i="15"/>
  <c r="AZ181" i="15"/>
  <c r="AK181" i="15"/>
  <c r="Z181" i="15"/>
  <c r="R181" i="15"/>
  <c r="T181" i="15"/>
  <c r="AL181" i="15"/>
  <c r="BC181" i="15"/>
  <c r="AP181" i="15"/>
  <c r="BE181" i="15"/>
  <c r="AN181" i="15"/>
  <c r="U181" i="15"/>
  <c r="BA181" i="15"/>
  <c r="AA181" i="15"/>
  <c r="W181" i="15"/>
  <c r="AY181" i="15"/>
  <c r="AJ181" i="15"/>
  <c r="Q181" i="15"/>
  <c r="Y181" i="15"/>
  <c r="S181" i="15"/>
  <c r="D180" i="15"/>
  <c r="E180" i="15"/>
  <c r="F180" i="15"/>
  <c r="L181" i="8"/>
  <c r="N181" i="8"/>
  <c r="P181" i="8"/>
  <c r="M181" i="8"/>
  <c r="O181" i="8"/>
  <c r="A182" i="8"/>
  <c r="K181" i="8"/>
  <c r="I181" i="8"/>
  <c r="G181" i="8"/>
  <c r="E181" i="8"/>
  <c r="C181" i="8"/>
  <c r="J181" i="8"/>
  <c r="H181" i="8"/>
  <c r="F181" i="8"/>
  <c r="D181" i="8"/>
  <c r="B181" i="8"/>
  <c r="A183" i="1"/>
  <c r="M182" i="1"/>
  <c r="N182" i="1"/>
  <c r="P182" i="1"/>
  <c r="O182" i="1"/>
  <c r="L182" i="1"/>
  <c r="H182" i="1"/>
  <c r="J182" i="1"/>
  <c r="G182" i="1"/>
  <c r="I182" i="1"/>
  <c r="K182" i="1"/>
  <c r="C182" i="1"/>
  <c r="E182" i="1"/>
  <c r="B182" i="1"/>
  <c r="F182" i="1"/>
  <c r="D182" i="1"/>
  <c r="D203" i="28" l="1"/>
  <c r="C203" i="28"/>
  <c r="G181" i="15"/>
  <c r="D181" i="15"/>
  <c r="AO182" i="15"/>
  <c r="BF182" i="15"/>
  <c r="AM182" i="15"/>
  <c r="AQ182" i="15"/>
  <c r="BD182" i="15"/>
  <c r="AB182" i="15"/>
  <c r="V182" i="15"/>
  <c r="BB182" i="15"/>
  <c r="X182" i="15"/>
  <c r="AK182" i="15"/>
  <c r="AZ182" i="15"/>
  <c r="R182" i="15"/>
  <c r="Z182" i="15"/>
  <c r="T182" i="15"/>
  <c r="E181" i="15"/>
  <c r="BC182" i="15"/>
  <c r="AL182" i="15"/>
  <c r="AP182" i="15"/>
  <c r="BE182" i="15"/>
  <c r="AN182" i="15"/>
  <c r="AA182" i="15"/>
  <c r="BA182" i="15"/>
  <c r="U182" i="15"/>
  <c r="W182" i="15"/>
  <c r="AJ182" i="15"/>
  <c r="AY182" i="15"/>
  <c r="Y182" i="15"/>
  <c r="Q182" i="15"/>
  <c r="S182" i="15"/>
  <c r="F181" i="15"/>
  <c r="L182" i="8"/>
  <c r="N182" i="8"/>
  <c r="P182" i="8"/>
  <c r="M182" i="8"/>
  <c r="O182" i="8"/>
  <c r="A183" i="8"/>
  <c r="K182" i="8"/>
  <c r="I182" i="8"/>
  <c r="G182" i="8"/>
  <c r="E182" i="8"/>
  <c r="C182" i="8"/>
  <c r="J182" i="8"/>
  <c r="H182" i="8"/>
  <c r="F182" i="8"/>
  <c r="D182" i="8"/>
  <c r="B182" i="8"/>
  <c r="A184" i="1"/>
  <c r="M183" i="1"/>
  <c r="O183" i="1"/>
  <c r="L183" i="1"/>
  <c r="N183" i="1"/>
  <c r="P183" i="1"/>
  <c r="H183" i="1"/>
  <c r="J183" i="1"/>
  <c r="G183" i="1"/>
  <c r="I183" i="1"/>
  <c r="K183" i="1"/>
  <c r="C183" i="1"/>
  <c r="E183" i="1"/>
  <c r="B183" i="1"/>
  <c r="D183" i="1"/>
  <c r="F183" i="1"/>
  <c r="D204" i="28" l="1"/>
  <c r="C204" i="28"/>
  <c r="F182" i="15"/>
  <c r="D182" i="15"/>
  <c r="BC183" i="15"/>
  <c r="AN183" i="15"/>
  <c r="AP183" i="15"/>
  <c r="BA183" i="15"/>
  <c r="BE183" i="15"/>
  <c r="AL183" i="15"/>
  <c r="AA183" i="15"/>
  <c r="U183" i="15"/>
  <c r="W183" i="15"/>
  <c r="AY183" i="15"/>
  <c r="AJ183" i="15"/>
  <c r="Y183" i="15"/>
  <c r="Q183" i="15"/>
  <c r="S183" i="15"/>
  <c r="E182" i="15"/>
  <c r="G182" i="15"/>
  <c r="AM183" i="15"/>
  <c r="AQ183" i="15"/>
  <c r="BB183" i="15"/>
  <c r="BD183" i="15"/>
  <c r="BF183" i="15"/>
  <c r="AO183" i="15"/>
  <c r="V183" i="15"/>
  <c r="AB183" i="15"/>
  <c r="X183" i="15"/>
  <c r="AZ183" i="15"/>
  <c r="AK183" i="15"/>
  <c r="Z183" i="15"/>
  <c r="R183" i="15"/>
  <c r="T183" i="15"/>
  <c r="L183" i="8"/>
  <c r="N183" i="8"/>
  <c r="P183" i="8"/>
  <c r="M183" i="8"/>
  <c r="O183" i="8"/>
  <c r="A184" i="8"/>
  <c r="K183" i="8"/>
  <c r="I183" i="8"/>
  <c r="G183" i="8"/>
  <c r="E183" i="8"/>
  <c r="C183" i="8"/>
  <c r="J183" i="8"/>
  <c r="H183" i="8"/>
  <c r="F183" i="8"/>
  <c r="D183" i="8"/>
  <c r="B183" i="8"/>
  <c r="A185" i="1"/>
  <c r="M184" i="1"/>
  <c r="N184" i="1"/>
  <c r="P184" i="1"/>
  <c r="O184" i="1"/>
  <c r="L184" i="1"/>
  <c r="H184" i="1"/>
  <c r="J184" i="1"/>
  <c r="G184" i="1"/>
  <c r="I184" i="1"/>
  <c r="K184" i="1"/>
  <c r="C184" i="1"/>
  <c r="E184" i="1"/>
  <c r="B184" i="1"/>
  <c r="F184" i="1"/>
  <c r="D184" i="1"/>
  <c r="D205" i="28" l="1"/>
  <c r="C205" i="28"/>
  <c r="E183" i="15"/>
  <c r="D183" i="15"/>
  <c r="AM184" i="15"/>
  <c r="BD184" i="15"/>
  <c r="BB184" i="15"/>
  <c r="AO184" i="15"/>
  <c r="AB184" i="15"/>
  <c r="AQ184" i="15"/>
  <c r="BF184" i="15"/>
  <c r="V184" i="15"/>
  <c r="X184" i="15"/>
  <c r="AZ184" i="15"/>
  <c r="AK184" i="15"/>
  <c r="R184" i="15"/>
  <c r="Z184" i="15"/>
  <c r="T184" i="15"/>
  <c r="BC184" i="15"/>
  <c r="AP184" i="15"/>
  <c r="AL184" i="15"/>
  <c r="AN184" i="15"/>
  <c r="BA184" i="15"/>
  <c r="BE184" i="15"/>
  <c r="U184" i="15"/>
  <c r="AA184" i="15"/>
  <c r="W184" i="15"/>
  <c r="AJ184" i="15"/>
  <c r="AY184" i="15"/>
  <c r="Y184" i="15"/>
  <c r="Q184" i="15"/>
  <c r="S184" i="15"/>
  <c r="G183" i="15"/>
  <c r="F183" i="15"/>
  <c r="L184" i="8"/>
  <c r="N184" i="8"/>
  <c r="P184" i="8"/>
  <c r="M184" i="8"/>
  <c r="O184" i="8"/>
  <c r="A185" i="8"/>
  <c r="K184" i="8"/>
  <c r="I184" i="8"/>
  <c r="G184" i="8"/>
  <c r="E184" i="8"/>
  <c r="C184" i="8"/>
  <c r="J184" i="8"/>
  <c r="H184" i="8"/>
  <c r="F184" i="8"/>
  <c r="D184" i="8"/>
  <c r="B184" i="8"/>
  <c r="A186" i="1"/>
  <c r="M185" i="1"/>
  <c r="O185" i="1"/>
  <c r="L185" i="1"/>
  <c r="N185" i="1"/>
  <c r="P185" i="1"/>
  <c r="H185" i="1"/>
  <c r="J185" i="1"/>
  <c r="G185" i="1"/>
  <c r="I185" i="1"/>
  <c r="K185" i="1"/>
  <c r="C185" i="1"/>
  <c r="E185" i="1"/>
  <c r="B185" i="1"/>
  <c r="D185" i="1"/>
  <c r="F185" i="1"/>
  <c r="D206" i="28" l="1"/>
  <c r="C206" i="28"/>
  <c r="D184" i="15"/>
  <c r="E184" i="15"/>
  <c r="BC185" i="15"/>
  <c r="AL185" i="15"/>
  <c r="BE185" i="15"/>
  <c r="BA185" i="15"/>
  <c r="AP185" i="15"/>
  <c r="AN185" i="15"/>
  <c r="AA185" i="15"/>
  <c r="U185" i="15"/>
  <c r="W185" i="15"/>
  <c r="AJ185" i="15"/>
  <c r="AY185" i="15"/>
  <c r="Y185" i="15"/>
  <c r="Q185" i="15"/>
  <c r="S185" i="15"/>
  <c r="F184" i="15"/>
  <c r="BD185" i="15"/>
  <c r="AQ185" i="15"/>
  <c r="AO185" i="15"/>
  <c r="AB185" i="15"/>
  <c r="AM185" i="15"/>
  <c r="BB185" i="15"/>
  <c r="V185" i="15"/>
  <c r="BF185" i="15"/>
  <c r="X185" i="15"/>
  <c r="AK185" i="15"/>
  <c r="AZ185" i="15"/>
  <c r="Z185" i="15"/>
  <c r="R185" i="15"/>
  <c r="T185" i="15"/>
  <c r="G184" i="15"/>
  <c r="L185" i="8"/>
  <c r="N185" i="8"/>
  <c r="P185" i="8"/>
  <c r="M185" i="8"/>
  <c r="O185" i="8"/>
  <c r="A186" i="8"/>
  <c r="K185" i="8"/>
  <c r="I185" i="8"/>
  <c r="G185" i="8"/>
  <c r="E185" i="8"/>
  <c r="C185" i="8"/>
  <c r="J185" i="8"/>
  <c r="H185" i="8"/>
  <c r="F185" i="8"/>
  <c r="D185" i="8"/>
  <c r="B185" i="8"/>
  <c r="A187" i="1"/>
  <c r="M186" i="1"/>
  <c r="N186" i="1"/>
  <c r="P186" i="1"/>
  <c r="O186" i="1"/>
  <c r="L186" i="1"/>
  <c r="H186" i="1"/>
  <c r="J186" i="1"/>
  <c r="G186" i="1"/>
  <c r="I186" i="1"/>
  <c r="K186" i="1"/>
  <c r="C186" i="1"/>
  <c r="E186" i="1"/>
  <c r="B186" i="1"/>
  <c r="F186" i="1"/>
  <c r="D186" i="1"/>
  <c r="D207" i="28" l="1"/>
  <c r="C207" i="28"/>
  <c r="E185" i="15"/>
  <c r="F185" i="15"/>
  <c r="AO186" i="15"/>
  <c r="AM186" i="15"/>
  <c r="BF186" i="15"/>
  <c r="BD186" i="15"/>
  <c r="BB186" i="15"/>
  <c r="V186" i="15"/>
  <c r="AQ186" i="15"/>
  <c r="AB186" i="15"/>
  <c r="X186" i="15"/>
  <c r="AK186" i="15"/>
  <c r="AZ186" i="15"/>
  <c r="Z186" i="15"/>
  <c r="R186" i="15"/>
  <c r="T186" i="15"/>
  <c r="AL186" i="15"/>
  <c r="BC186" i="15"/>
  <c r="BE186" i="15"/>
  <c r="AP186" i="15"/>
  <c r="AA186" i="15"/>
  <c r="U186" i="15"/>
  <c r="AN186" i="15"/>
  <c r="BA186" i="15"/>
  <c r="W186" i="15"/>
  <c r="AY186" i="15"/>
  <c r="AJ186" i="15"/>
  <c r="Y186" i="15"/>
  <c r="Q186" i="15"/>
  <c r="S186" i="15"/>
  <c r="G185" i="15"/>
  <c r="D185" i="15"/>
  <c r="L186" i="8"/>
  <c r="N186" i="8"/>
  <c r="P186" i="8"/>
  <c r="M186" i="8"/>
  <c r="O186" i="8"/>
  <c r="A187" i="8"/>
  <c r="K186" i="8"/>
  <c r="I186" i="8"/>
  <c r="G186" i="8"/>
  <c r="E186" i="8"/>
  <c r="C186" i="8"/>
  <c r="J186" i="8"/>
  <c r="H186" i="8"/>
  <c r="F186" i="8"/>
  <c r="D186" i="8"/>
  <c r="B186" i="8"/>
  <c r="A188" i="1"/>
  <c r="M187" i="1"/>
  <c r="O187" i="1"/>
  <c r="L187" i="1"/>
  <c r="N187" i="1"/>
  <c r="P187" i="1"/>
  <c r="H187" i="1"/>
  <c r="J187" i="1"/>
  <c r="G187" i="1"/>
  <c r="I187" i="1"/>
  <c r="K187" i="1"/>
  <c r="C187" i="1"/>
  <c r="E187" i="1"/>
  <c r="B187" i="1"/>
  <c r="D187" i="1"/>
  <c r="F187" i="1"/>
  <c r="D208" i="28" l="1"/>
  <c r="C208" i="28"/>
  <c r="D186" i="15"/>
  <c r="BD187" i="15"/>
  <c r="AM187" i="15"/>
  <c r="AQ187" i="15"/>
  <c r="AO187" i="15"/>
  <c r="BF187" i="15"/>
  <c r="BB187" i="15"/>
  <c r="V187" i="15"/>
  <c r="AB187" i="15"/>
  <c r="X187" i="15"/>
  <c r="AK187" i="15"/>
  <c r="AZ187" i="15"/>
  <c r="Z187" i="15"/>
  <c r="R187" i="15"/>
  <c r="T187" i="15"/>
  <c r="F186" i="15"/>
  <c r="AP187" i="15"/>
  <c r="AL187" i="15"/>
  <c r="BA187" i="15"/>
  <c r="BC187" i="15"/>
  <c r="BE187" i="15"/>
  <c r="U187" i="15"/>
  <c r="AN187" i="15"/>
  <c r="AA187" i="15"/>
  <c r="W187" i="15"/>
  <c r="AY187" i="15"/>
  <c r="AJ187" i="15"/>
  <c r="Y187" i="15"/>
  <c r="Q187" i="15"/>
  <c r="S187" i="15"/>
  <c r="E186" i="15"/>
  <c r="G186" i="15"/>
  <c r="L187" i="8"/>
  <c r="N187" i="8"/>
  <c r="P187" i="8"/>
  <c r="M187" i="8"/>
  <c r="O187" i="8"/>
  <c r="A188" i="8"/>
  <c r="K187" i="8"/>
  <c r="I187" i="8"/>
  <c r="G187" i="8"/>
  <c r="E187" i="8"/>
  <c r="C187" i="8"/>
  <c r="J187" i="8"/>
  <c r="H187" i="8"/>
  <c r="F187" i="8"/>
  <c r="D187" i="8"/>
  <c r="B187" i="8"/>
  <c r="A189" i="1"/>
  <c r="M188" i="1"/>
  <c r="N188" i="1"/>
  <c r="P188" i="1"/>
  <c r="O188" i="1"/>
  <c r="L188" i="1"/>
  <c r="H188" i="1"/>
  <c r="J188" i="1"/>
  <c r="G188" i="1"/>
  <c r="I188" i="1"/>
  <c r="K188" i="1"/>
  <c r="C188" i="1"/>
  <c r="E188" i="1"/>
  <c r="B188" i="1"/>
  <c r="F188" i="1"/>
  <c r="D188" i="1"/>
  <c r="D209" i="28" l="1"/>
  <c r="C209" i="28"/>
  <c r="E187" i="15"/>
  <c r="D187" i="15"/>
  <c r="BD188" i="15"/>
  <c r="AQ188" i="15"/>
  <c r="AO188" i="15"/>
  <c r="BB188" i="15"/>
  <c r="AM188" i="15"/>
  <c r="BF188" i="15"/>
  <c r="AB188" i="15"/>
  <c r="V188" i="15"/>
  <c r="X188" i="15"/>
  <c r="AK188" i="15"/>
  <c r="AZ188" i="15"/>
  <c r="Z188" i="15"/>
  <c r="R188" i="15"/>
  <c r="T188" i="15"/>
  <c r="F187" i="15"/>
  <c r="BC188" i="15"/>
  <c r="AP188" i="15"/>
  <c r="BA188" i="15"/>
  <c r="AN188" i="15"/>
  <c r="AA188" i="15"/>
  <c r="U188" i="15"/>
  <c r="AL188" i="15"/>
  <c r="BE188" i="15"/>
  <c r="W188" i="15"/>
  <c r="AJ188" i="15"/>
  <c r="AY188" i="15"/>
  <c r="Y188" i="15"/>
  <c r="Q188" i="15"/>
  <c r="S188" i="15"/>
  <c r="G187" i="15"/>
  <c r="L188" i="8"/>
  <c r="N188" i="8"/>
  <c r="P188" i="8"/>
  <c r="M188" i="8"/>
  <c r="O188" i="8"/>
  <c r="A189" i="8"/>
  <c r="K188" i="8"/>
  <c r="I188" i="8"/>
  <c r="G188" i="8"/>
  <c r="E188" i="8"/>
  <c r="C188" i="8"/>
  <c r="J188" i="8"/>
  <c r="H188" i="8"/>
  <c r="F188" i="8"/>
  <c r="D188" i="8"/>
  <c r="B188" i="8"/>
  <c r="A190" i="1"/>
  <c r="M189" i="1"/>
  <c r="O189" i="1"/>
  <c r="L189" i="1"/>
  <c r="N189" i="1"/>
  <c r="P189" i="1"/>
  <c r="H189" i="1"/>
  <c r="J189" i="1"/>
  <c r="G189" i="1"/>
  <c r="I189" i="1"/>
  <c r="K189" i="1"/>
  <c r="C189" i="1"/>
  <c r="E189" i="1"/>
  <c r="B189" i="1"/>
  <c r="D189" i="1"/>
  <c r="F189" i="1"/>
  <c r="D210" i="28" l="1"/>
  <c r="C210" i="28"/>
  <c r="F188" i="15"/>
  <c r="E188" i="15"/>
  <c r="AM189" i="15"/>
  <c r="AQ189" i="15"/>
  <c r="BD189" i="15"/>
  <c r="BF189" i="15"/>
  <c r="BB189" i="15"/>
  <c r="AO189" i="15"/>
  <c r="AB189" i="15"/>
  <c r="V189" i="15"/>
  <c r="X189" i="15"/>
  <c r="AZ189" i="15"/>
  <c r="AK189" i="15"/>
  <c r="R189" i="15"/>
  <c r="Z189" i="15"/>
  <c r="T189" i="15"/>
  <c r="D188" i="15"/>
  <c r="AL189" i="15"/>
  <c r="AP189" i="15"/>
  <c r="AN189" i="15"/>
  <c r="BC189" i="15"/>
  <c r="BE189" i="15"/>
  <c r="U189" i="15"/>
  <c r="AA189" i="15"/>
  <c r="BA189" i="15"/>
  <c r="W189" i="15"/>
  <c r="AJ189" i="15"/>
  <c r="AY189" i="15"/>
  <c r="Y189" i="15"/>
  <c r="Q189" i="15"/>
  <c r="S189" i="15"/>
  <c r="G188" i="15"/>
  <c r="L189" i="8"/>
  <c r="N189" i="8"/>
  <c r="P189" i="8"/>
  <c r="M189" i="8"/>
  <c r="O189" i="8"/>
  <c r="A190" i="8"/>
  <c r="K189" i="8"/>
  <c r="I189" i="8"/>
  <c r="G189" i="8"/>
  <c r="E189" i="8"/>
  <c r="C189" i="8"/>
  <c r="J189" i="8"/>
  <c r="H189" i="8"/>
  <c r="F189" i="8"/>
  <c r="D189" i="8"/>
  <c r="B189" i="8"/>
  <c r="A191" i="1"/>
  <c r="M190" i="1"/>
  <c r="N190" i="1"/>
  <c r="P190" i="1"/>
  <c r="O190" i="1"/>
  <c r="L190" i="1"/>
  <c r="H190" i="1"/>
  <c r="J190" i="1"/>
  <c r="G190" i="1"/>
  <c r="I190" i="1"/>
  <c r="K190" i="1"/>
  <c r="C190" i="1"/>
  <c r="E190" i="1"/>
  <c r="B190" i="1"/>
  <c r="F190" i="1"/>
  <c r="D190" i="1"/>
  <c r="C211" i="28" l="1"/>
  <c r="D211" i="28"/>
  <c r="F189" i="15"/>
  <c r="G189" i="15"/>
  <c r="AQ190" i="15"/>
  <c r="BF190" i="15"/>
  <c r="BD190" i="15"/>
  <c r="AO190" i="15"/>
  <c r="AM190" i="15"/>
  <c r="V190" i="15"/>
  <c r="AB190" i="15"/>
  <c r="BB190" i="15"/>
  <c r="X190" i="15"/>
  <c r="AZ190" i="15"/>
  <c r="AK190" i="15"/>
  <c r="Z190" i="15"/>
  <c r="R190" i="15"/>
  <c r="T190" i="15"/>
  <c r="AL190" i="15"/>
  <c r="BC190" i="15"/>
  <c r="AP190" i="15"/>
  <c r="AN190" i="15"/>
  <c r="BE190" i="15"/>
  <c r="BA190" i="15"/>
  <c r="U190" i="15"/>
  <c r="AA190" i="15"/>
  <c r="W190" i="15"/>
  <c r="AJ190" i="15"/>
  <c r="AY190" i="15"/>
  <c r="Y190" i="15"/>
  <c r="Q190" i="15"/>
  <c r="S190" i="15"/>
  <c r="D189" i="15"/>
  <c r="E189" i="15"/>
  <c r="L190" i="8"/>
  <c r="N190" i="8"/>
  <c r="P190" i="8"/>
  <c r="M190" i="8"/>
  <c r="O190" i="8"/>
  <c r="A191" i="8"/>
  <c r="K190" i="8"/>
  <c r="I190" i="8"/>
  <c r="G190" i="8"/>
  <c r="E190" i="8"/>
  <c r="C190" i="8"/>
  <c r="J190" i="8"/>
  <c r="H190" i="8"/>
  <c r="F190" i="8"/>
  <c r="D190" i="8"/>
  <c r="B190" i="8"/>
  <c r="A192" i="1"/>
  <c r="M191" i="1"/>
  <c r="O191" i="1"/>
  <c r="L191" i="1"/>
  <c r="N191" i="1"/>
  <c r="P191" i="1"/>
  <c r="H191" i="1"/>
  <c r="J191" i="1"/>
  <c r="G191" i="1"/>
  <c r="I191" i="1"/>
  <c r="K191" i="1"/>
  <c r="C191" i="1"/>
  <c r="E191" i="1"/>
  <c r="B191" i="1"/>
  <c r="D191" i="1"/>
  <c r="F191" i="1"/>
  <c r="D212" i="28" l="1"/>
  <c r="C212" i="28"/>
  <c r="E190" i="15"/>
  <c r="G190" i="15"/>
  <c r="AM191" i="15"/>
  <c r="BD191" i="15"/>
  <c r="AO191" i="15"/>
  <c r="BB191" i="15"/>
  <c r="BF191" i="15"/>
  <c r="AB191" i="15"/>
  <c r="V191" i="15"/>
  <c r="AQ191" i="15"/>
  <c r="X191" i="15"/>
  <c r="AK191" i="15"/>
  <c r="AZ191" i="15"/>
  <c r="Z191" i="15"/>
  <c r="R191" i="15"/>
  <c r="T191" i="15"/>
  <c r="BC191" i="15"/>
  <c r="AN191" i="15"/>
  <c r="BE191" i="15"/>
  <c r="AP191" i="15"/>
  <c r="AL191" i="15"/>
  <c r="AA191" i="15"/>
  <c r="BA191" i="15"/>
  <c r="U191" i="15"/>
  <c r="W191" i="15"/>
  <c r="AY191" i="15"/>
  <c r="AJ191" i="15"/>
  <c r="Y191" i="15"/>
  <c r="Q191" i="15"/>
  <c r="S191" i="15"/>
  <c r="F190" i="15"/>
  <c r="D190" i="15"/>
  <c r="L191" i="8"/>
  <c r="N191" i="8"/>
  <c r="P191" i="8"/>
  <c r="M191" i="8"/>
  <c r="O191" i="8"/>
  <c r="A192" i="8"/>
  <c r="K191" i="8"/>
  <c r="I191" i="8"/>
  <c r="G191" i="8"/>
  <c r="E191" i="8"/>
  <c r="C191" i="8"/>
  <c r="J191" i="8"/>
  <c r="H191" i="8"/>
  <c r="F191" i="8"/>
  <c r="D191" i="8"/>
  <c r="B191" i="8"/>
  <c r="A193" i="1"/>
  <c r="M192" i="1"/>
  <c r="N192" i="1"/>
  <c r="P192" i="1"/>
  <c r="O192" i="1"/>
  <c r="L192" i="1"/>
  <c r="H192" i="1"/>
  <c r="J192" i="1"/>
  <c r="G192" i="1"/>
  <c r="I192" i="1"/>
  <c r="K192" i="1"/>
  <c r="C192" i="1"/>
  <c r="E192" i="1"/>
  <c r="B192" i="1"/>
  <c r="F192" i="1"/>
  <c r="D192" i="1"/>
  <c r="D213" i="28" l="1"/>
  <c r="C213" i="28"/>
  <c r="E191" i="15"/>
  <c r="BD192" i="15"/>
  <c r="BB192" i="15"/>
  <c r="AQ192" i="15"/>
  <c r="AB192" i="15"/>
  <c r="BF192" i="15"/>
  <c r="V192" i="15"/>
  <c r="AO192" i="15"/>
  <c r="AM192" i="15"/>
  <c r="X192" i="15"/>
  <c r="AK192" i="15"/>
  <c r="AZ192" i="15"/>
  <c r="Z192" i="15"/>
  <c r="R192" i="15"/>
  <c r="T192" i="15"/>
  <c r="BC192" i="15"/>
  <c r="AP192" i="15"/>
  <c r="AL192" i="15"/>
  <c r="BA192" i="15"/>
  <c r="BE192" i="15"/>
  <c r="U192" i="15"/>
  <c r="AN192" i="15"/>
  <c r="AA192" i="15"/>
  <c r="W192" i="15"/>
  <c r="AJ192" i="15"/>
  <c r="AY192" i="15"/>
  <c r="F192" i="15" s="1"/>
  <c r="Q192" i="15"/>
  <c r="Y192" i="15"/>
  <c r="S192" i="15"/>
  <c r="D191" i="15"/>
  <c r="G191" i="15"/>
  <c r="F191" i="15"/>
  <c r="L192" i="8"/>
  <c r="N192" i="8"/>
  <c r="P192" i="8"/>
  <c r="M192" i="8"/>
  <c r="O192" i="8"/>
  <c r="A193" i="8"/>
  <c r="K192" i="8"/>
  <c r="I192" i="8"/>
  <c r="G192" i="8"/>
  <c r="E192" i="8"/>
  <c r="C192" i="8"/>
  <c r="J192" i="8"/>
  <c r="H192" i="8"/>
  <c r="F192" i="8"/>
  <c r="D192" i="8"/>
  <c r="B192" i="8"/>
  <c r="A194" i="1"/>
  <c r="M193" i="1"/>
  <c r="O193" i="1"/>
  <c r="L193" i="1"/>
  <c r="N193" i="1"/>
  <c r="P193" i="1"/>
  <c r="H193" i="1"/>
  <c r="J193" i="1"/>
  <c r="G193" i="1"/>
  <c r="I193" i="1"/>
  <c r="K193" i="1"/>
  <c r="C193" i="1"/>
  <c r="E193" i="1"/>
  <c r="B193" i="1"/>
  <c r="D193" i="1"/>
  <c r="F193" i="1"/>
  <c r="D214" i="28" l="1"/>
  <c r="C214" i="28"/>
  <c r="E192" i="15"/>
  <c r="G192" i="15"/>
  <c r="AM193" i="15"/>
  <c r="BD193" i="15"/>
  <c r="BB193" i="15"/>
  <c r="AQ193" i="15"/>
  <c r="AO193" i="15"/>
  <c r="BF193" i="15"/>
  <c r="AB193" i="15"/>
  <c r="V193" i="15"/>
  <c r="X193" i="15"/>
  <c r="AZ193" i="15"/>
  <c r="AK193" i="15"/>
  <c r="R193" i="15"/>
  <c r="Z193" i="15"/>
  <c r="T193" i="15"/>
  <c r="BC193" i="15"/>
  <c r="BA193" i="15"/>
  <c r="AN193" i="15"/>
  <c r="BE193" i="15"/>
  <c r="AL193" i="15"/>
  <c r="AP193" i="15"/>
  <c r="U193" i="15"/>
  <c r="AA193" i="15"/>
  <c r="W193" i="15"/>
  <c r="AJ193" i="15"/>
  <c r="AY193" i="15"/>
  <c r="Y193" i="15"/>
  <c r="Q193" i="15"/>
  <c r="S193" i="15"/>
  <c r="D192" i="15"/>
  <c r="L193" i="8"/>
  <c r="N193" i="8"/>
  <c r="P193" i="8"/>
  <c r="M193" i="8"/>
  <c r="O193" i="8"/>
  <c r="A194" i="8"/>
  <c r="K193" i="8"/>
  <c r="I193" i="8"/>
  <c r="G193" i="8"/>
  <c r="E193" i="8"/>
  <c r="C193" i="8"/>
  <c r="J193" i="8"/>
  <c r="H193" i="8"/>
  <c r="F193" i="8"/>
  <c r="D193" i="8"/>
  <c r="B193" i="8"/>
  <c r="A195" i="1"/>
  <c r="M194" i="1"/>
  <c r="N194" i="1"/>
  <c r="P194" i="1"/>
  <c r="O194" i="1"/>
  <c r="L194" i="1"/>
  <c r="H194" i="1"/>
  <c r="J194" i="1"/>
  <c r="G194" i="1"/>
  <c r="I194" i="1"/>
  <c r="K194" i="1"/>
  <c r="C194" i="1"/>
  <c r="E194" i="1"/>
  <c r="B194" i="1"/>
  <c r="F194" i="1"/>
  <c r="D194" i="1"/>
  <c r="D215" i="28" l="1"/>
  <c r="C215" i="28"/>
  <c r="D193" i="15"/>
  <c r="G193" i="15"/>
  <c r="AL194" i="15"/>
  <c r="BC194" i="15"/>
  <c r="AN194" i="15"/>
  <c r="BE194" i="15"/>
  <c r="AP194" i="15"/>
  <c r="U194" i="15"/>
  <c r="BA194" i="15"/>
  <c r="AA194" i="15"/>
  <c r="W194" i="15"/>
  <c r="AY194" i="15"/>
  <c r="AJ194" i="15"/>
  <c r="Y194" i="15"/>
  <c r="Q194" i="15"/>
  <c r="S194" i="15"/>
  <c r="F193" i="15"/>
  <c r="AM194" i="15"/>
  <c r="BF194" i="15"/>
  <c r="AQ194" i="15"/>
  <c r="AB194" i="15"/>
  <c r="BD194" i="15"/>
  <c r="BB194" i="15"/>
  <c r="AO194" i="15"/>
  <c r="V194" i="15"/>
  <c r="X194" i="15"/>
  <c r="AZ194" i="15"/>
  <c r="AK194" i="15"/>
  <c r="Z194" i="15"/>
  <c r="R194" i="15"/>
  <c r="T194" i="15"/>
  <c r="E193" i="15"/>
  <c r="L194" i="8"/>
  <c r="N194" i="8"/>
  <c r="P194" i="8"/>
  <c r="M194" i="8"/>
  <c r="O194" i="8"/>
  <c r="A195" i="8"/>
  <c r="K194" i="8"/>
  <c r="I194" i="8"/>
  <c r="G194" i="8"/>
  <c r="E194" i="8"/>
  <c r="C194" i="8"/>
  <c r="J194" i="8"/>
  <c r="H194" i="8"/>
  <c r="F194" i="8"/>
  <c r="D194" i="8"/>
  <c r="B194" i="8"/>
  <c r="A196" i="1"/>
  <c r="M195" i="1"/>
  <c r="O195" i="1"/>
  <c r="L195" i="1"/>
  <c r="N195" i="1"/>
  <c r="P195" i="1"/>
  <c r="H195" i="1"/>
  <c r="J195" i="1"/>
  <c r="G195" i="1"/>
  <c r="I195" i="1"/>
  <c r="K195" i="1"/>
  <c r="C195" i="1"/>
  <c r="E195" i="1"/>
  <c r="B195" i="1"/>
  <c r="D195" i="1"/>
  <c r="F195" i="1"/>
  <c r="D216" i="28" l="1"/>
  <c r="C216" i="28"/>
  <c r="E194" i="15"/>
  <c r="F194" i="15"/>
  <c r="G194" i="15"/>
  <c r="BD195" i="15"/>
  <c r="AM195" i="15"/>
  <c r="BF195" i="15"/>
  <c r="AO195" i="15"/>
  <c r="BB195" i="15"/>
  <c r="V195" i="15"/>
  <c r="AB195" i="15"/>
  <c r="AQ195" i="15"/>
  <c r="X195" i="15"/>
  <c r="AZ195" i="15"/>
  <c r="AK195" i="15"/>
  <c r="Z195" i="15"/>
  <c r="R195" i="15"/>
  <c r="T195" i="15"/>
  <c r="D194" i="15"/>
  <c r="BC195" i="15"/>
  <c r="AP195" i="15"/>
  <c r="AL195" i="15"/>
  <c r="BA195" i="15"/>
  <c r="AN195" i="15"/>
  <c r="BE195" i="15"/>
  <c r="U195" i="15"/>
  <c r="AA195" i="15"/>
  <c r="W195" i="15"/>
  <c r="AY195" i="15"/>
  <c r="AJ195" i="15"/>
  <c r="Y195" i="15"/>
  <c r="Q195" i="15"/>
  <c r="S195" i="15"/>
  <c r="L195" i="8"/>
  <c r="N195" i="8"/>
  <c r="P195" i="8"/>
  <c r="M195" i="8"/>
  <c r="O195" i="8"/>
  <c r="A196" i="8"/>
  <c r="K195" i="8"/>
  <c r="I195" i="8"/>
  <c r="G195" i="8"/>
  <c r="E195" i="8"/>
  <c r="C195" i="8"/>
  <c r="H195" i="8"/>
  <c r="D195" i="8"/>
  <c r="J195" i="8"/>
  <c r="F195" i="8"/>
  <c r="B195" i="8"/>
  <c r="A197" i="1"/>
  <c r="M196" i="1"/>
  <c r="N196" i="1"/>
  <c r="P196" i="1"/>
  <c r="O196" i="1"/>
  <c r="L196" i="1"/>
  <c r="H196" i="1"/>
  <c r="J196" i="1"/>
  <c r="G196" i="1"/>
  <c r="I196" i="1"/>
  <c r="K196" i="1"/>
  <c r="C196" i="1"/>
  <c r="E196" i="1"/>
  <c r="B196" i="1"/>
  <c r="F196" i="1"/>
  <c r="D196" i="1"/>
  <c r="D217" i="28" l="1"/>
  <c r="C217" i="28"/>
  <c r="D195" i="15"/>
  <c r="G195" i="15"/>
  <c r="BC196" i="15"/>
  <c r="AP196" i="15"/>
  <c r="BA196" i="15"/>
  <c r="AN196" i="15"/>
  <c r="AL196" i="15"/>
  <c r="BE196" i="15"/>
  <c r="U196" i="15"/>
  <c r="AA196" i="15"/>
  <c r="W196" i="15"/>
  <c r="AY196" i="15"/>
  <c r="AJ196" i="15"/>
  <c r="Q196" i="15"/>
  <c r="Y196" i="15"/>
  <c r="S196" i="15"/>
  <c r="AQ196" i="15"/>
  <c r="BB196" i="15"/>
  <c r="AM196" i="15"/>
  <c r="AO196" i="15"/>
  <c r="BD196" i="15"/>
  <c r="BF196" i="15"/>
  <c r="V196" i="15"/>
  <c r="AB196" i="15"/>
  <c r="X196" i="15"/>
  <c r="AK196" i="15"/>
  <c r="AZ196" i="15"/>
  <c r="Z196" i="15"/>
  <c r="R196" i="15"/>
  <c r="T196" i="15"/>
  <c r="E195" i="15"/>
  <c r="F195" i="15"/>
  <c r="L196" i="8"/>
  <c r="N196" i="8"/>
  <c r="P196" i="8"/>
  <c r="M196" i="8"/>
  <c r="O196" i="8"/>
  <c r="A197" i="8"/>
  <c r="K196" i="8"/>
  <c r="I196" i="8"/>
  <c r="G196" i="8"/>
  <c r="E196" i="8"/>
  <c r="C196" i="8"/>
  <c r="J196" i="8"/>
  <c r="H196" i="8"/>
  <c r="F196" i="8"/>
  <c r="D196" i="8"/>
  <c r="B196" i="8"/>
  <c r="A198" i="1"/>
  <c r="M197" i="1"/>
  <c r="O197" i="1"/>
  <c r="L197" i="1"/>
  <c r="N197" i="1"/>
  <c r="P197" i="1"/>
  <c r="H197" i="1"/>
  <c r="J197" i="1"/>
  <c r="G197" i="1"/>
  <c r="I197" i="1"/>
  <c r="K197" i="1"/>
  <c r="C197" i="1"/>
  <c r="E197" i="1"/>
  <c r="B197" i="1"/>
  <c r="D197" i="1"/>
  <c r="F197" i="1"/>
  <c r="D218" i="28" l="1"/>
  <c r="C218" i="28"/>
  <c r="F196" i="15"/>
  <c r="AM197" i="15"/>
  <c r="AO197" i="15"/>
  <c r="BF197" i="15"/>
  <c r="BB197" i="15"/>
  <c r="AB197" i="15"/>
  <c r="AQ197" i="15"/>
  <c r="BD197" i="15"/>
  <c r="V197" i="15"/>
  <c r="X197" i="15"/>
  <c r="AK197" i="15"/>
  <c r="AZ197" i="15"/>
  <c r="R197" i="15"/>
  <c r="Z197" i="15"/>
  <c r="T197" i="15"/>
  <c r="BC197" i="15"/>
  <c r="AL197" i="15"/>
  <c r="AP197" i="15"/>
  <c r="BE197" i="15"/>
  <c r="AN197" i="15"/>
  <c r="AA197" i="15"/>
  <c r="BA197" i="15"/>
  <c r="U197" i="15"/>
  <c r="W197" i="15"/>
  <c r="AY197" i="15"/>
  <c r="AJ197" i="15"/>
  <c r="Q197" i="15"/>
  <c r="Y197" i="15"/>
  <c r="S197" i="15"/>
  <c r="G196" i="15"/>
  <c r="D196" i="15"/>
  <c r="E196" i="15"/>
  <c r="L197" i="8"/>
  <c r="N197" i="8"/>
  <c r="P197" i="8"/>
  <c r="M197" i="8"/>
  <c r="O197" i="8"/>
  <c r="A198" i="8"/>
  <c r="K197" i="8"/>
  <c r="I197" i="8"/>
  <c r="G197" i="8"/>
  <c r="E197" i="8"/>
  <c r="C197" i="8"/>
  <c r="J197" i="8"/>
  <c r="H197" i="8"/>
  <c r="F197" i="8"/>
  <c r="D197" i="8"/>
  <c r="B197" i="8"/>
  <c r="A199" i="1"/>
  <c r="M198" i="1"/>
  <c r="N198" i="1"/>
  <c r="P198" i="1"/>
  <c r="O198" i="1"/>
  <c r="L198" i="1"/>
  <c r="H198" i="1"/>
  <c r="J198" i="1"/>
  <c r="G198" i="1"/>
  <c r="I198" i="1"/>
  <c r="K198" i="1"/>
  <c r="D198" i="1"/>
  <c r="F198" i="1"/>
  <c r="C198" i="1"/>
  <c r="E198" i="1"/>
  <c r="B198" i="1"/>
  <c r="D219" i="28" l="1"/>
  <c r="C219" i="28"/>
  <c r="E197" i="15"/>
  <c r="G197" i="15"/>
  <c r="AQ198" i="15"/>
  <c r="AO198" i="15"/>
  <c r="BF198" i="15"/>
  <c r="BD198" i="15"/>
  <c r="AM198" i="15"/>
  <c r="BB198" i="15"/>
  <c r="V198" i="15"/>
  <c r="AB198" i="15"/>
  <c r="X198" i="15"/>
  <c r="AK198" i="15"/>
  <c r="AZ198" i="15"/>
  <c r="R198" i="15"/>
  <c r="Z198" i="15"/>
  <c r="T198" i="15"/>
  <c r="D197" i="15"/>
  <c r="BC198" i="15"/>
  <c r="AL198" i="15"/>
  <c r="AP198" i="15"/>
  <c r="BE198" i="15"/>
  <c r="AA198" i="15"/>
  <c r="BA198" i="15"/>
  <c r="AN198" i="15"/>
  <c r="U198" i="15"/>
  <c r="W198" i="15"/>
  <c r="AJ198" i="15"/>
  <c r="AY198" i="15"/>
  <c r="Y198" i="15"/>
  <c r="Q198" i="15"/>
  <c r="S198" i="15"/>
  <c r="F197" i="15"/>
  <c r="L198" i="8"/>
  <c r="N198" i="8"/>
  <c r="P198" i="8"/>
  <c r="M198" i="8"/>
  <c r="O198" i="8"/>
  <c r="A199" i="8"/>
  <c r="K198" i="8"/>
  <c r="I198" i="8"/>
  <c r="G198" i="8"/>
  <c r="E198" i="8"/>
  <c r="C198" i="8"/>
  <c r="J198" i="8"/>
  <c r="H198" i="8"/>
  <c r="F198" i="8"/>
  <c r="D198" i="8"/>
  <c r="B198" i="8"/>
  <c r="A200" i="1"/>
  <c r="M199" i="1"/>
  <c r="O199" i="1"/>
  <c r="L199" i="1"/>
  <c r="N199" i="1"/>
  <c r="P199" i="1"/>
  <c r="H199" i="1"/>
  <c r="J199" i="1"/>
  <c r="G199" i="1"/>
  <c r="I199" i="1"/>
  <c r="K199" i="1"/>
  <c r="D199" i="1"/>
  <c r="F199" i="1"/>
  <c r="C199" i="1"/>
  <c r="E199" i="1"/>
  <c r="B199" i="1"/>
  <c r="D220" i="28" l="1"/>
  <c r="C220" i="28"/>
  <c r="E198" i="15"/>
  <c r="F198" i="15"/>
  <c r="D198" i="15"/>
  <c r="AM199" i="15"/>
  <c r="BB199" i="15"/>
  <c r="BF199" i="15"/>
  <c r="AQ199" i="15"/>
  <c r="V199" i="15"/>
  <c r="AO199" i="15"/>
  <c r="AB199" i="15"/>
  <c r="BD199" i="15"/>
  <c r="X199" i="15"/>
  <c r="AZ199" i="15"/>
  <c r="AK199" i="15"/>
  <c r="Z199" i="15"/>
  <c r="R199" i="15"/>
  <c r="T199" i="15"/>
  <c r="BC199" i="15"/>
  <c r="AN199" i="15"/>
  <c r="BA199" i="15"/>
  <c r="BE199" i="15"/>
  <c r="U199" i="15"/>
  <c r="AP199" i="15"/>
  <c r="AL199" i="15"/>
  <c r="AA199" i="15"/>
  <c r="W199" i="15"/>
  <c r="AY199" i="15"/>
  <c r="AJ199" i="15"/>
  <c r="Y199" i="15"/>
  <c r="Q199" i="15"/>
  <c r="S199" i="15"/>
  <c r="G198" i="15"/>
  <c r="L199" i="8"/>
  <c r="N199" i="8"/>
  <c r="P199" i="8"/>
  <c r="M199" i="8"/>
  <c r="O199" i="8"/>
  <c r="A200" i="8"/>
  <c r="K199" i="8"/>
  <c r="I199" i="8"/>
  <c r="G199" i="8"/>
  <c r="E199" i="8"/>
  <c r="C199" i="8"/>
  <c r="J199" i="8"/>
  <c r="H199" i="8"/>
  <c r="F199" i="8"/>
  <c r="D199" i="8"/>
  <c r="B199" i="8"/>
  <c r="A201" i="1"/>
  <c r="M200" i="1"/>
  <c r="N200" i="1"/>
  <c r="P200" i="1"/>
  <c r="O200" i="1"/>
  <c r="L200" i="1"/>
  <c r="H200" i="1"/>
  <c r="J200" i="1"/>
  <c r="G200" i="1"/>
  <c r="I200" i="1"/>
  <c r="K200" i="1"/>
  <c r="D200" i="1"/>
  <c r="F200" i="1"/>
  <c r="C200" i="1"/>
  <c r="E200" i="1"/>
  <c r="B200" i="1"/>
  <c r="D221" i="28" l="1"/>
  <c r="C221" i="28"/>
  <c r="D199" i="15"/>
  <c r="G199" i="15"/>
  <c r="F199" i="15"/>
  <c r="BB200" i="15"/>
  <c r="AM200" i="15"/>
  <c r="AO200" i="15"/>
  <c r="V200" i="15"/>
  <c r="BD200" i="15"/>
  <c r="AQ200" i="15"/>
  <c r="BF200" i="15"/>
  <c r="AB200" i="15"/>
  <c r="X200" i="15"/>
  <c r="AZ200" i="15"/>
  <c r="AK200" i="15"/>
  <c r="R200" i="15"/>
  <c r="Z200" i="15"/>
  <c r="T200" i="15"/>
  <c r="AP200" i="15"/>
  <c r="AL200" i="15"/>
  <c r="AN200" i="15"/>
  <c r="BA200" i="15"/>
  <c r="BC200" i="15"/>
  <c r="BE200" i="15"/>
  <c r="AA200" i="15"/>
  <c r="U200" i="15"/>
  <c r="W200" i="15"/>
  <c r="AY200" i="15"/>
  <c r="AJ200" i="15"/>
  <c r="Y200" i="15"/>
  <c r="Q200" i="15"/>
  <c r="S200" i="15"/>
  <c r="E199" i="15"/>
  <c r="L200" i="8"/>
  <c r="N200" i="8"/>
  <c r="P200" i="8"/>
  <c r="M200" i="8"/>
  <c r="O200" i="8"/>
  <c r="A201" i="8"/>
  <c r="K200" i="8"/>
  <c r="I200" i="8"/>
  <c r="G200" i="8"/>
  <c r="E200" i="8"/>
  <c r="C200" i="8"/>
  <c r="J200" i="8"/>
  <c r="H200" i="8"/>
  <c r="F200" i="8"/>
  <c r="D200" i="8"/>
  <c r="B200" i="8"/>
  <c r="A202" i="1"/>
  <c r="M201" i="1"/>
  <c r="O201" i="1"/>
  <c r="L201" i="1"/>
  <c r="N201" i="1"/>
  <c r="P201" i="1"/>
  <c r="H201" i="1"/>
  <c r="J201" i="1"/>
  <c r="G201" i="1"/>
  <c r="I201" i="1"/>
  <c r="K201" i="1"/>
  <c r="D201" i="1"/>
  <c r="F201" i="1"/>
  <c r="C201" i="1"/>
  <c r="E201" i="1"/>
  <c r="B201" i="1"/>
  <c r="D222" i="28" l="1"/>
  <c r="C222" i="28"/>
  <c r="D200" i="15"/>
  <c r="F200" i="15"/>
  <c r="AM201" i="15"/>
  <c r="BD201" i="15"/>
  <c r="AQ201" i="15"/>
  <c r="AO201" i="15"/>
  <c r="AB201" i="15"/>
  <c r="V201" i="15"/>
  <c r="BF201" i="15"/>
  <c r="BB201" i="15"/>
  <c r="X201" i="15"/>
  <c r="AZ201" i="15"/>
  <c r="AK201" i="15"/>
  <c r="Z201" i="15"/>
  <c r="R201" i="15"/>
  <c r="T201" i="15"/>
  <c r="BC201" i="15"/>
  <c r="BE201" i="15"/>
  <c r="BA201" i="15"/>
  <c r="AL201" i="15"/>
  <c r="AP201" i="15"/>
  <c r="AN201" i="15"/>
  <c r="AA201" i="15"/>
  <c r="U201" i="15"/>
  <c r="W201" i="15"/>
  <c r="AJ201" i="15"/>
  <c r="AY201" i="15"/>
  <c r="Y201" i="15"/>
  <c r="Q201" i="15"/>
  <c r="S201" i="15"/>
  <c r="G200" i="15"/>
  <c r="E200" i="15"/>
  <c r="L201" i="8"/>
  <c r="N201" i="8"/>
  <c r="P201" i="8"/>
  <c r="M201" i="8"/>
  <c r="O201" i="8"/>
  <c r="A202" i="8"/>
  <c r="K201" i="8"/>
  <c r="I201" i="8"/>
  <c r="G201" i="8"/>
  <c r="E201" i="8"/>
  <c r="C201" i="8"/>
  <c r="J201" i="8"/>
  <c r="H201" i="8"/>
  <c r="F201" i="8"/>
  <c r="D201" i="8"/>
  <c r="B201" i="8"/>
  <c r="A203" i="1"/>
  <c r="M202" i="1"/>
  <c r="N202" i="1"/>
  <c r="P202" i="1"/>
  <c r="O202" i="1"/>
  <c r="L202" i="1"/>
  <c r="H202" i="1"/>
  <c r="J202" i="1"/>
  <c r="G202" i="1"/>
  <c r="I202" i="1"/>
  <c r="K202" i="1"/>
  <c r="F202" i="1"/>
  <c r="C202" i="1"/>
  <c r="E202" i="1"/>
  <c r="B202" i="1"/>
  <c r="D202" i="1"/>
  <c r="D223" i="28" l="1"/>
  <c r="C223" i="28"/>
  <c r="F201" i="15"/>
  <c r="G201" i="15"/>
  <c r="AM202" i="15"/>
  <c r="BF202" i="15"/>
  <c r="AO202" i="15"/>
  <c r="AB202" i="15"/>
  <c r="AQ202" i="15"/>
  <c r="V202" i="15"/>
  <c r="BB202" i="15"/>
  <c r="BD202" i="15"/>
  <c r="X202" i="15"/>
  <c r="AK202" i="15"/>
  <c r="AZ202" i="15"/>
  <c r="Z202" i="15"/>
  <c r="R202" i="15"/>
  <c r="T202" i="15"/>
  <c r="D201" i="15"/>
  <c r="AL202" i="15"/>
  <c r="BE202" i="15"/>
  <c r="AP202" i="15"/>
  <c r="BA202" i="15"/>
  <c r="AN202" i="15"/>
  <c r="BC202" i="15"/>
  <c r="AA202" i="15"/>
  <c r="U202" i="15"/>
  <c r="W202" i="15"/>
  <c r="AJ202" i="15"/>
  <c r="AY202" i="15"/>
  <c r="Q202" i="15"/>
  <c r="Y202" i="15"/>
  <c r="S202" i="15"/>
  <c r="E201" i="15"/>
  <c r="L202" i="8"/>
  <c r="N202" i="8"/>
  <c r="P202" i="8"/>
  <c r="M202" i="8"/>
  <c r="O202" i="8"/>
  <c r="A203" i="8"/>
  <c r="K202" i="8"/>
  <c r="I202" i="8"/>
  <c r="G202" i="8"/>
  <c r="E202" i="8"/>
  <c r="C202" i="8"/>
  <c r="J202" i="8"/>
  <c r="H202" i="8"/>
  <c r="F202" i="8"/>
  <c r="D202" i="8"/>
  <c r="B202" i="8"/>
  <c r="A204" i="1"/>
  <c r="M203" i="1"/>
  <c r="O203" i="1"/>
  <c r="L203" i="1"/>
  <c r="N203" i="1"/>
  <c r="P203" i="1"/>
  <c r="H203" i="1"/>
  <c r="J203" i="1"/>
  <c r="G203" i="1"/>
  <c r="I203" i="1"/>
  <c r="K203" i="1"/>
  <c r="D203" i="1"/>
  <c r="C203" i="1"/>
  <c r="E203" i="1"/>
  <c r="B203" i="1"/>
  <c r="F203" i="1"/>
  <c r="D224" i="28" l="1"/>
  <c r="C224" i="28"/>
  <c r="D202" i="15"/>
  <c r="E202" i="15"/>
  <c r="G202" i="15"/>
  <c r="BD203" i="15"/>
  <c r="AQ203" i="15"/>
  <c r="AM203" i="15"/>
  <c r="BF203" i="15"/>
  <c r="AO203" i="15"/>
  <c r="AB203" i="15"/>
  <c r="V203" i="15"/>
  <c r="BB203" i="15"/>
  <c r="X203" i="15"/>
  <c r="AZ203" i="15"/>
  <c r="AK203" i="15"/>
  <c r="R203" i="15"/>
  <c r="Z203" i="15"/>
  <c r="T203" i="15"/>
  <c r="AP203" i="15"/>
  <c r="AL203" i="15"/>
  <c r="BC203" i="15"/>
  <c r="U203" i="15"/>
  <c r="BA203" i="15"/>
  <c r="BE203" i="15"/>
  <c r="AA203" i="15"/>
  <c r="AN203" i="15"/>
  <c r="W203" i="15"/>
  <c r="AY203" i="15"/>
  <c r="AJ203" i="15"/>
  <c r="Y203" i="15"/>
  <c r="Q203" i="15"/>
  <c r="S203" i="15"/>
  <c r="F202" i="15"/>
  <c r="L203" i="8"/>
  <c r="N203" i="8"/>
  <c r="P203" i="8"/>
  <c r="M203" i="8"/>
  <c r="O203" i="8"/>
  <c r="A204" i="8"/>
  <c r="K203" i="8"/>
  <c r="I203" i="8"/>
  <c r="G203" i="8"/>
  <c r="E203" i="8"/>
  <c r="C203" i="8"/>
  <c r="J203" i="8"/>
  <c r="H203" i="8"/>
  <c r="F203" i="8"/>
  <c r="D203" i="8"/>
  <c r="B203" i="8"/>
  <c r="A205" i="1"/>
  <c r="M204" i="1"/>
  <c r="N204" i="1"/>
  <c r="P204" i="1"/>
  <c r="O204" i="1"/>
  <c r="L204" i="1"/>
  <c r="H204" i="1"/>
  <c r="J204" i="1"/>
  <c r="G204" i="1"/>
  <c r="I204" i="1"/>
  <c r="K204" i="1"/>
  <c r="D204" i="1"/>
  <c r="C204" i="1"/>
  <c r="E204" i="1"/>
  <c r="B204" i="1"/>
  <c r="F204" i="1"/>
  <c r="D225" i="28" l="1"/>
  <c r="C225" i="28"/>
  <c r="E203" i="15"/>
  <c r="BD204" i="15"/>
  <c r="AQ204" i="15"/>
  <c r="BB204" i="15"/>
  <c r="AM204" i="15"/>
  <c r="AO204" i="15"/>
  <c r="BF204" i="15"/>
  <c r="V204" i="15"/>
  <c r="AB204" i="15"/>
  <c r="X204" i="15"/>
  <c r="AZ204" i="15"/>
  <c r="AK204" i="15"/>
  <c r="Z204" i="15"/>
  <c r="R204" i="15"/>
  <c r="T204" i="15"/>
  <c r="D203" i="15"/>
  <c r="AP204" i="15"/>
  <c r="BA204" i="15"/>
  <c r="BC204" i="15"/>
  <c r="AN204" i="15"/>
  <c r="AA204" i="15"/>
  <c r="AL204" i="15"/>
  <c r="BE204" i="15"/>
  <c r="U204" i="15"/>
  <c r="W204" i="15"/>
  <c r="AY204" i="15"/>
  <c r="AJ204" i="15"/>
  <c r="Q204" i="15"/>
  <c r="Y204" i="15"/>
  <c r="S204" i="15"/>
  <c r="F203" i="15"/>
  <c r="G203" i="15"/>
  <c r="L204" i="8"/>
  <c r="N204" i="8"/>
  <c r="P204" i="8"/>
  <c r="M204" i="8"/>
  <c r="O204" i="8"/>
  <c r="A205" i="8"/>
  <c r="K204" i="8"/>
  <c r="I204" i="8"/>
  <c r="G204" i="8"/>
  <c r="E204" i="8"/>
  <c r="C204" i="8"/>
  <c r="J204" i="8"/>
  <c r="H204" i="8"/>
  <c r="F204" i="8"/>
  <c r="D204" i="8"/>
  <c r="B204" i="8"/>
  <c r="A206" i="1"/>
  <c r="M205" i="1"/>
  <c r="O205" i="1"/>
  <c r="L205" i="1"/>
  <c r="N205" i="1"/>
  <c r="P205" i="1"/>
  <c r="H205" i="1"/>
  <c r="J205" i="1"/>
  <c r="G205" i="1"/>
  <c r="I205" i="1"/>
  <c r="K205" i="1"/>
  <c r="D205" i="1"/>
  <c r="C205" i="1"/>
  <c r="E205" i="1"/>
  <c r="B205" i="1"/>
  <c r="F205" i="1"/>
  <c r="D226" i="28" l="1"/>
  <c r="C226" i="28"/>
  <c r="F204" i="15"/>
  <c r="D204" i="15"/>
  <c r="G204" i="15"/>
  <c r="E204" i="15"/>
  <c r="BD205" i="15"/>
  <c r="BF205" i="15"/>
  <c r="AM205" i="15"/>
  <c r="AO205" i="15"/>
  <c r="AB205" i="15"/>
  <c r="V205" i="15"/>
  <c r="AQ205" i="15"/>
  <c r="BB205" i="15"/>
  <c r="X205" i="15"/>
  <c r="AK205" i="15"/>
  <c r="AZ205" i="15"/>
  <c r="R205" i="15"/>
  <c r="Z205" i="15"/>
  <c r="T205" i="15"/>
  <c r="AL205" i="15"/>
  <c r="AP205" i="15"/>
  <c r="AN205" i="15"/>
  <c r="BA205" i="15"/>
  <c r="U205" i="15"/>
  <c r="AA205" i="15"/>
  <c r="BE205" i="15"/>
  <c r="BC205" i="15"/>
  <c r="W205" i="15"/>
  <c r="AJ205" i="15"/>
  <c r="AY205" i="15"/>
  <c r="Y205" i="15"/>
  <c r="Q205" i="15"/>
  <c r="S205" i="15"/>
  <c r="L205" i="8"/>
  <c r="N205" i="8"/>
  <c r="P205" i="8"/>
  <c r="M205" i="8"/>
  <c r="O205" i="8"/>
  <c r="A206" i="8"/>
  <c r="K205" i="8"/>
  <c r="I205" i="8"/>
  <c r="G205" i="8"/>
  <c r="E205" i="8"/>
  <c r="C205" i="8"/>
  <c r="J205" i="8"/>
  <c r="H205" i="8"/>
  <c r="F205" i="8"/>
  <c r="D205" i="8"/>
  <c r="B205" i="8"/>
  <c r="A207" i="1"/>
  <c r="M206" i="1"/>
  <c r="N206" i="1"/>
  <c r="P206" i="1"/>
  <c r="O206" i="1"/>
  <c r="L206" i="1"/>
  <c r="H206" i="1"/>
  <c r="J206" i="1"/>
  <c r="G206" i="1"/>
  <c r="I206" i="1"/>
  <c r="K206" i="1"/>
  <c r="F206" i="1"/>
  <c r="C206" i="1"/>
  <c r="E206" i="1"/>
  <c r="B206" i="1"/>
  <c r="D206" i="1"/>
  <c r="C227" i="28" l="1"/>
  <c r="D227" i="28"/>
  <c r="E205" i="15"/>
  <c r="D205" i="15"/>
  <c r="BD206" i="15"/>
  <c r="AQ206" i="15"/>
  <c r="AO206" i="15"/>
  <c r="BF206" i="15"/>
  <c r="V206" i="15"/>
  <c r="BB206" i="15"/>
  <c r="AM206" i="15"/>
  <c r="AB206" i="15"/>
  <c r="X206" i="15"/>
  <c r="AZ206" i="15"/>
  <c r="AK206" i="15"/>
  <c r="Z206" i="15"/>
  <c r="R206" i="15"/>
  <c r="T206" i="15"/>
  <c r="AL206" i="15"/>
  <c r="AP206" i="15"/>
  <c r="AN206" i="15"/>
  <c r="BE206" i="15"/>
  <c r="BC206" i="15"/>
  <c r="AA206" i="15"/>
  <c r="U206" i="15"/>
  <c r="BA206" i="15"/>
  <c r="W206" i="15"/>
  <c r="AY206" i="15"/>
  <c r="AJ206" i="15"/>
  <c r="Q206" i="15"/>
  <c r="Y206" i="15"/>
  <c r="S206" i="15"/>
  <c r="G205" i="15"/>
  <c r="F205" i="15"/>
  <c r="L206" i="8"/>
  <c r="N206" i="8"/>
  <c r="P206" i="8"/>
  <c r="M206" i="8"/>
  <c r="O206" i="8"/>
  <c r="A207" i="8"/>
  <c r="K206" i="8"/>
  <c r="I206" i="8"/>
  <c r="G206" i="8"/>
  <c r="E206" i="8"/>
  <c r="C206" i="8"/>
  <c r="J206" i="8"/>
  <c r="H206" i="8"/>
  <c r="F206" i="8"/>
  <c r="D206" i="8"/>
  <c r="B206" i="8"/>
  <c r="A208" i="1"/>
  <c r="M207" i="1"/>
  <c r="O207" i="1"/>
  <c r="L207" i="1"/>
  <c r="N207" i="1"/>
  <c r="P207" i="1"/>
  <c r="H207" i="1"/>
  <c r="J207" i="1"/>
  <c r="G207" i="1"/>
  <c r="I207" i="1"/>
  <c r="K207" i="1"/>
  <c r="F207" i="1"/>
  <c r="C207" i="1"/>
  <c r="E207" i="1"/>
  <c r="B207" i="1"/>
  <c r="D207" i="1"/>
  <c r="D228" i="28" l="1"/>
  <c r="C228" i="28"/>
  <c r="E206" i="15"/>
  <c r="F206" i="15"/>
  <c r="D206" i="15"/>
  <c r="G206" i="15"/>
  <c r="AM207" i="15"/>
  <c r="BD207" i="15"/>
  <c r="AO207" i="15"/>
  <c r="BB207" i="15"/>
  <c r="BF207" i="15"/>
  <c r="AQ207" i="15"/>
  <c r="AB207" i="15"/>
  <c r="V207" i="15"/>
  <c r="X207" i="15"/>
  <c r="AZ207" i="15"/>
  <c r="AK207" i="15"/>
  <c r="Z207" i="15"/>
  <c r="R207" i="15"/>
  <c r="T207" i="15"/>
  <c r="BC207" i="15"/>
  <c r="AN207" i="15"/>
  <c r="BE207" i="15"/>
  <c r="AP207" i="15"/>
  <c r="AL207" i="15"/>
  <c r="BA207" i="15"/>
  <c r="AA207" i="15"/>
  <c r="U207" i="15"/>
  <c r="W207" i="15"/>
  <c r="AY207" i="15"/>
  <c r="AJ207" i="15"/>
  <c r="Q207" i="15"/>
  <c r="Y207" i="15"/>
  <c r="S207" i="15"/>
  <c r="L207" i="8"/>
  <c r="N207" i="8"/>
  <c r="P207" i="8"/>
  <c r="M207" i="8"/>
  <c r="O207" i="8"/>
  <c r="A208" i="8"/>
  <c r="K207" i="8"/>
  <c r="I207" i="8"/>
  <c r="G207" i="8"/>
  <c r="E207" i="8"/>
  <c r="C207" i="8"/>
  <c r="J207" i="8"/>
  <c r="H207" i="8"/>
  <c r="F207" i="8"/>
  <c r="D207" i="8"/>
  <c r="B207" i="8"/>
  <c r="A209" i="1"/>
  <c r="M208" i="1"/>
  <c r="N208" i="1"/>
  <c r="P208" i="1"/>
  <c r="O208" i="1"/>
  <c r="L208" i="1"/>
  <c r="H208" i="1"/>
  <c r="J208" i="1"/>
  <c r="G208" i="1"/>
  <c r="I208" i="1"/>
  <c r="K208" i="1"/>
  <c r="F208" i="1"/>
  <c r="C208" i="1"/>
  <c r="E208" i="1"/>
  <c r="B208" i="1"/>
  <c r="D208" i="1"/>
  <c r="D229" i="28" l="1"/>
  <c r="C229" i="28"/>
  <c r="F207" i="15"/>
  <c r="BD208" i="15"/>
  <c r="BB208" i="15"/>
  <c r="AQ208" i="15"/>
  <c r="AO208" i="15"/>
  <c r="AM208" i="15"/>
  <c r="BF208" i="15"/>
  <c r="AB208" i="15"/>
  <c r="V208" i="15"/>
  <c r="X208" i="15"/>
  <c r="AZ208" i="15"/>
  <c r="AK208" i="15"/>
  <c r="R208" i="15"/>
  <c r="Z208" i="15"/>
  <c r="T208" i="15"/>
  <c r="AP208" i="15"/>
  <c r="AL208" i="15"/>
  <c r="BA208" i="15"/>
  <c r="BE208" i="15"/>
  <c r="BC208" i="15"/>
  <c r="AN208" i="15"/>
  <c r="AA208" i="15"/>
  <c r="U208" i="15"/>
  <c r="W208" i="15"/>
  <c r="AJ208" i="15"/>
  <c r="AY208" i="15"/>
  <c r="Q208" i="15"/>
  <c r="Y208" i="15"/>
  <c r="S208" i="15"/>
  <c r="D207" i="15"/>
  <c r="E207" i="15"/>
  <c r="G207" i="15"/>
  <c r="L208" i="8"/>
  <c r="N208" i="8"/>
  <c r="P208" i="8"/>
  <c r="M208" i="8"/>
  <c r="O208" i="8"/>
  <c r="A209" i="8"/>
  <c r="K208" i="8"/>
  <c r="I208" i="8"/>
  <c r="G208" i="8"/>
  <c r="E208" i="8"/>
  <c r="C208" i="8"/>
  <c r="J208" i="8"/>
  <c r="H208" i="8"/>
  <c r="F208" i="8"/>
  <c r="D208" i="8"/>
  <c r="B208" i="8"/>
  <c r="A210" i="1"/>
  <c r="M209" i="1"/>
  <c r="O209" i="1"/>
  <c r="L209" i="1"/>
  <c r="N209" i="1"/>
  <c r="P209" i="1"/>
  <c r="H209" i="1"/>
  <c r="J209" i="1"/>
  <c r="G209" i="1"/>
  <c r="I209" i="1"/>
  <c r="K209" i="1"/>
  <c r="F209" i="1"/>
  <c r="C209" i="1"/>
  <c r="E209" i="1"/>
  <c r="B209" i="1"/>
  <c r="D209" i="1"/>
  <c r="D230" i="28" l="1"/>
  <c r="C230" i="28"/>
  <c r="G208" i="15"/>
  <c r="E208" i="15"/>
  <c r="AM209" i="15"/>
  <c r="BD209" i="15"/>
  <c r="AQ209" i="15"/>
  <c r="BF209" i="15"/>
  <c r="BB209" i="15"/>
  <c r="V209" i="15"/>
  <c r="AO209" i="15"/>
  <c r="AB209" i="15"/>
  <c r="X209" i="15"/>
  <c r="AK209" i="15"/>
  <c r="AZ209" i="15"/>
  <c r="R209" i="15"/>
  <c r="Z209" i="15"/>
  <c r="T209" i="15"/>
  <c r="F208" i="15"/>
  <c r="BC209" i="15"/>
  <c r="BA209" i="15"/>
  <c r="BE209" i="15"/>
  <c r="AA209" i="15"/>
  <c r="AL209" i="15"/>
  <c r="AP209" i="15"/>
  <c r="AN209" i="15"/>
  <c r="U209" i="15"/>
  <c r="W209" i="15"/>
  <c r="AJ209" i="15"/>
  <c r="AY209" i="15"/>
  <c r="Q209" i="15"/>
  <c r="Y209" i="15"/>
  <c r="S209" i="15"/>
  <c r="D208" i="15"/>
  <c r="L209" i="8"/>
  <c r="N209" i="8"/>
  <c r="P209" i="8"/>
  <c r="M209" i="8"/>
  <c r="O209" i="8"/>
  <c r="A210" i="8"/>
  <c r="K209" i="8"/>
  <c r="I209" i="8"/>
  <c r="G209" i="8"/>
  <c r="E209" i="8"/>
  <c r="C209" i="8"/>
  <c r="J209" i="8"/>
  <c r="H209" i="8"/>
  <c r="F209" i="8"/>
  <c r="D209" i="8"/>
  <c r="B209" i="8"/>
  <c r="A211" i="1"/>
  <c r="A212" i="1" s="1"/>
  <c r="M210" i="1"/>
  <c r="N210" i="1"/>
  <c r="P210" i="1"/>
  <c r="O210" i="1"/>
  <c r="L210" i="1"/>
  <c r="H210" i="1"/>
  <c r="J210" i="1"/>
  <c r="G210" i="1"/>
  <c r="I210" i="1"/>
  <c r="K210" i="1"/>
  <c r="F210" i="1"/>
  <c r="C210" i="1"/>
  <c r="E210" i="1"/>
  <c r="B210" i="1"/>
  <c r="D210" i="1"/>
  <c r="D231" i="28" l="1"/>
  <c r="C231" i="28"/>
  <c r="D209" i="15"/>
  <c r="B212" i="1"/>
  <c r="I212" i="1"/>
  <c r="A213" i="1"/>
  <c r="G212" i="1"/>
  <c r="O212" i="1"/>
  <c r="K212" i="1"/>
  <c r="E212" i="1"/>
  <c r="C212" i="1"/>
  <c r="M212" i="1"/>
  <c r="P212" i="1"/>
  <c r="H212" i="1"/>
  <c r="J212" i="1"/>
  <c r="L212" i="1"/>
  <c r="N212" i="1"/>
  <c r="D212" i="1"/>
  <c r="F212" i="1"/>
  <c r="AL210" i="15"/>
  <c r="BC210" i="15"/>
  <c r="AN210" i="15"/>
  <c r="BE210" i="15"/>
  <c r="U210" i="15"/>
  <c r="BA210" i="15"/>
  <c r="AA210" i="15"/>
  <c r="AP210" i="15"/>
  <c r="W210" i="15"/>
  <c r="AY210" i="15"/>
  <c r="AJ210" i="15"/>
  <c r="Y210" i="15"/>
  <c r="Q210" i="15"/>
  <c r="S210" i="15"/>
  <c r="E209" i="15"/>
  <c r="G209" i="15"/>
  <c r="BD210" i="15"/>
  <c r="AM210" i="15"/>
  <c r="AO210" i="15"/>
  <c r="BF210" i="15"/>
  <c r="AQ210" i="15"/>
  <c r="V210" i="15"/>
  <c r="AB210" i="15"/>
  <c r="BB210" i="15"/>
  <c r="X210" i="15"/>
  <c r="AZ210" i="15"/>
  <c r="AK210" i="15"/>
  <c r="R210" i="15"/>
  <c r="Z210" i="15"/>
  <c r="T210" i="15"/>
  <c r="F209" i="15"/>
  <c r="L210" i="8"/>
  <c r="N210" i="8"/>
  <c r="P210" i="8"/>
  <c r="M210" i="8"/>
  <c r="O210" i="8"/>
  <c r="A211" i="8"/>
  <c r="K210" i="8"/>
  <c r="I210" i="8"/>
  <c r="G210" i="8"/>
  <c r="E210" i="8"/>
  <c r="C210" i="8"/>
  <c r="J210" i="8"/>
  <c r="H210" i="8"/>
  <c r="F210" i="8"/>
  <c r="D210" i="8"/>
  <c r="B210" i="8"/>
  <c r="M211" i="1"/>
  <c r="O211" i="1"/>
  <c r="L211" i="1"/>
  <c r="N211" i="1"/>
  <c r="P211" i="1"/>
  <c r="H211" i="1"/>
  <c r="J211" i="1"/>
  <c r="G211" i="1"/>
  <c r="I211" i="1"/>
  <c r="K211" i="1"/>
  <c r="F211" i="1"/>
  <c r="C211" i="1"/>
  <c r="E211" i="1"/>
  <c r="B211" i="1"/>
  <c r="D211" i="1"/>
  <c r="D232" i="28" l="1"/>
  <c r="E7" i="30" s="1"/>
  <c r="C232" i="28"/>
  <c r="E6" i="30" s="1"/>
  <c r="F210" i="15"/>
  <c r="B213" i="1"/>
  <c r="I213" i="1"/>
  <c r="A214" i="1"/>
  <c r="G213" i="1"/>
  <c r="O213" i="1"/>
  <c r="K213" i="1"/>
  <c r="E213" i="1"/>
  <c r="C213" i="1"/>
  <c r="M213" i="1"/>
  <c r="J213" i="1"/>
  <c r="L213" i="1"/>
  <c r="D213" i="1"/>
  <c r="N213" i="1"/>
  <c r="P213" i="1"/>
  <c r="F213" i="1"/>
  <c r="H213" i="1"/>
  <c r="E210" i="15"/>
  <c r="D210" i="15"/>
  <c r="BD211" i="15"/>
  <c r="AM211" i="15"/>
  <c r="AQ211" i="15"/>
  <c r="AO211" i="15"/>
  <c r="BF211" i="15"/>
  <c r="V211" i="15"/>
  <c r="BB211" i="15"/>
  <c r="AB211" i="15"/>
  <c r="X211" i="15"/>
  <c r="AZ211" i="15"/>
  <c r="AK211" i="15"/>
  <c r="R211" i="15"/>
  <c r="Z211" i="15"/>
  <c r="T211" i="15"/>
  <c r="BC211" i="15"/>
  <c r="AP211" i="15"/>
  <c r="AL211" i="15"/>
  <c r="AN211" i="15"/>
  <c r="BE211" i="15"/>
  <c r="BA211" i="15"/>
  <c r="AA211" i="15"/>
  <c r="U211" i="15"/>
  <c r="W211" i="15"/>
  <c r="AY211" i="15"/>
  <c r="AJ211" i="15"/>
  <c r="Q211" i="15"/>
  <c r="Y211" i="15"/>
  <c r="S211" i="15"/>
  <c r="G210" i="15"/>
  <c r="L211" i="8"/>
  <c r="N211" i="8"/>
  <c r="P211" i="8"/>
  <c r="M211" i="8"/>
  <c r="O211" i="8"/>
  <c r="K211" i="8"/>
  <c r="I211" i="8"/>
  <c r="G211" i="8"/>
  <c r="E211" i="8"/>
  <c r="C211" i="8"/>
  <c r="J211" i="8"/>
  <c r="H211" i="8"/>
  <c r="F211" i="8"/>
  <c r="D211" i="8"/>
  <c r="B211" i="8"/>
  <c r="E211" i="15" l="1"/>
  <c r="B214" i="1"/>
  <c r="I214" i="1"/>
  <c r="A215" i="1"/>
  <c r="G214" i="1"/>
  <c r="O214" i="1"/>
  <c r="K214" i="1"/>
  <c r="E214" i="1"/>
  <c r="C214" i="1"/>
  <c r="M214" i="1"/>
  <c r="L214" i="1"/>
  <c r="D214" i="1"/>
  <c r="N214" i="1"/>
  <c r="F214" i="1"/>
  <c r="P214" i="1"/>
  <c r="H214" i="1"/>
  <c r="J214" i="1"/>
  <c r="F211" i="15"/>
  <c r="D211" i="15"/>
  <c r="AQ212" i="15"/>
  <c r="AO212" i="15"/>
  <c r="BB212" i="15"/>
  <c r="BD212" i="15"/>
  <c r="AM212" i="15"/>
  <c r="BF212" i="15"/>
  <c r="AB212" i="15"/>
  <c r="V212" i="15"/>
  <c r="X212" i="15"/>
  <c r="AZ212" i="15"/>
  <c r="AK212" i="15"/>
  <c r="R212" i="15"/>
  <c r="Z212" i="15"/>
  <c r="T212" i="15"/>
  <c r="BC212" i="15"/>
  <c r="AP212" i="15"/>
  <c r="BA212" i="15"/>
  <c r="AN212" i="15"/>
  <c r="AL212" i="15"/>
  <c r="BE212" i="15"/>
  <c r="AA212" i="15"/>
  <c r="U212" i="15"/>
  <c r="W212" i="15"/>
  <c r="AY212" i="15"/>
  <c r="AJ212" i="15"/>
  <c r="Y212" i="15"/>
  <c r="Q212" i="15"/>
  <c r="S212" i="15"/>
  <c r="G211" i="15"/>
  <c r="E212" i="15" l="1"/>
  <c r="B215" i="1"/>
  <c r="I215" i="1"/>
  <c r="A216" i="1"/>
  <c r="G215" i="1"/>
  <c r="O215" i="1"/>
  <c r="K215" i="1"/>
  <c r="E215" i="1"/>
  <c r="C215" i="1"/>
  <c r="M215" i="1"/>
  <c r="N215" i="1"/>
  <c r="F215" i="1"/>
  <c r="P215" i="1"/>
  <c r="H215" i="1"/>
  <c r="D215" i="1"/>
  <c r="J215" i="1"/>
  <c r="L215" i="1"/>
  <c r="F212" i="15"/>
  <c r="D212" i="15"/>
  <c r="G212" i="15"/>
  <c r="J3" i="15"/>
  <c r="E18" i="12"/>
  <c r="I3" i="15"/>
  <c r="B16" i="28" l="1"/>
  <c r="D16" i="28" s="1"/>
  <c r="B14" i="28"/>
  <c r="D14" i="28" s="1"/>
  <c r="B17" i="28"/>
  <c r="D17" i="28" s="1"/>
  <c r="B15" i="28"/>
  <c r="D15" i="28" s="1"/>
  <c r="B216" i="1"/>
  <c r="I216" i="1"/>
  <c r="A217" i="1"/>
  <c r="G216" i="1"/>
  <c r="O216" i="1"/>
  <c r="K216" i="1"/>
  <c r="E216" i="1"/>
  <c r="C216" i="1"/>
  <c r="M216" i="1"/>
  <c r="P216" i="1"/>
  <c r="H216" i="1"/>
  <c r="J216" i="1"/>
  <c r="D216" i="1"/>
  <c r="F216" i="1"/>
  <c r="L216" i="1"/>
  <c r="N216" i="1"/>
  <c r="C9" i="15"/>
  <c r="B4" i="15"/>
  <c r="B6" i="15"/>
  <c r="B5" i="15"/>
  <c r="C6" i="15"/>
  <c r="B164" i="15"/>
  <c r="B180" i="15"/>
  <c r="B203" i="15"/>
  <c r="B24" i="15"/>
  <c r="B17" i="22" s="1"/>
  <c r="B111" i="15"/>
  <c r="B104" i="22" s="1"/>
  <c r="B197" i="15"/>
  <c r="B17" i="15"/>
  <c r="B10" i="22" s="1"/>
  <c r="B99" i="15"/>
  <c r="B92" i="22" s="1"/>
  <c r="B49" i="15"/>
  <c r="B42" i="22" s="1"/>
  <c r="B75" i="15"/>
  <c r="B68" i="22" s="1"/>
  <c r="B122" i="15"/>
  <c r="B115" i="22" s="1"/>
  <c r="B204" i="15"/>
  <c r="B206" i="15"/>
  <c r="B28" i="15"/>
  <c r="B21" i="22" s="1"/>
  <c r="C200" i="15"/>
  <c r="C107" i="15"/>
  <c r="C100" i="22" s="1"/>
  <c r="I100" i="22" s="1"/>
  <c r="C186" i="15"/>
  <c r="C212" i="15"/>
  <c r="C187" i="15"/>
  <c r="B159" i="15"/>
  <c r="B152" i="22" s="1"/>
  <c r="B52" i="15"/>
  <c r="B45" i="22" s="1"/>
  <c r="B172" i="15"/>
  <c r="C166" i="15"/>
  <c r="B114" i="15"/>
  <c r="B107" i="22" s="1"/>
  <c r="B141" i="15"/>
  <c r="B134" i="22" s="1"/>
  <c r="B179" i="15"/>
  <c r="C210" i="15"/>
  <c r="B70" i="15"/>
  <c r="B63" i="22" s="1"/>
  <c r="C85" i="15"/>
  <c r="C78" i="22" s="1"/>
  <c r="I78" i="22" s="1"/>
  <c r="C119" i="15"/>
  <c r="C112" i="22" s="1"/>
  <c r="I112" i="22" s="1"/>
  <c r="B29" i="15"/>
  <c r="B22" i="22" s="1"/>
  <c r="C99" i="15"/>
  <c r="C92" i="22" s="1"/>
  <c r="I92" i="22" s="1"/>
  <c r="B51" i="15"/>
  <c r="B44" i="22" s="1"/>
  <c r="C63" i="15"/>
  <c r="C56" i="22" s="1"/>
  <c r="I56" i="22" s="1"/>
  <c r="C30" i="15"/>
  <c r="C23" i="22" s="1"/>
  <c r="I23" i="22" s="1"/>
  <c r="C51" i="15"/>
  <c r="C44" i="22" s="1"/>
  <c r="I44" i="22" s="1"/>
  <c r="B147" i="15"/>
  <c r="B140" i="22" s="1"/>
  <c r="C195" i="15"/>
  <c r="B93" i="15"/>
  <c r="B86" i="22" s="1"/>
  <c r="B106" i="15"/>
  <c r="B99" i="22" s="1"/>
  <c r="C36" i="15"/>
  <c r="C29" i="22" s="1"/>
  <c r="I29" i="22" s="1"/>
  <c r="B144" i="15"/>
  <c r="B137" i="22" s="1"/>
  <c r="B194" i="15"/>
  <c r="C122" i="15"/>
  <c r="C115" i="22" s="1"/>
  <c r="I115" i="22" s="1"/>
  <c r="B136" i="15"/>
  <c r="B129" i="22" s="1"/>
  <c r="C106" i="15"/>
  <c r="C99" i="22" s="1"/>
  <c r="I99" i="22" s="1"/>
  <c r="C139" i="15"/>
  <c r="C132" i="22" s="1"/>
  <c r="I132" i="22" s="1"/>
  <c r="B160" i="15"/>
  <c r="B153" i="22" s="1"/>
  <c r="B116" i="15"/>
  <c r="B109" i="22" s="1"/>
  <c r="C76" i="15"/>
  <c r="C69" i="22" s="1"/>
  <c r="I69" i="22" s="1"/>
  <c r="B98" i="15"/>
  <c r="B91" i="22" s="1"/>
  <c r="B158" i="15"/>
  <c r="B151" i="22" s="1"/>
  <c r="B55" i="15"/>
  <c r="B48" i="22" s="1"/>
  <c r="B123" i="15"/>
  <c r="B116" i="22" s="1"/>
  <c r="C173" i="15"/>
  <c r="B65" i="15"/>
  <c r="B58" i="22" s="1"/>
  <c r="C109" i="15"/>
  <c r="C102" i="22" s="1"/>
  <c r="I102" i="22" s="1"/>
  <c r="C204" i="15"/>
  <c r="C189" i="15"/>
  <c r="C160" i="15"/>
  <c r="C153" i="22" s="1"/>
  <c r="I153" i="22" s="1"/>
  <c r="C140" i="15"/>
  <c r="C133" i="22" s="1"/>
  <c r="I133" i="22" s="1"/>
  <c r="B143" i="15"/>
  <c r="B136" i="22" s="1"/>
  <c r="C138" i="15"/>
  <c r="C131" i="22" s="1"/>
  <c r="I131" i="22" s="1"/>
  <c r="C78" i="15"/>
  <c r="C71" i="22" s="1"/>
  <c r="I71" i="22" s="1"/>
  <c r="B163" i="15"/>
  <c r="C194" i="15"/>
  <c r="C41" i="15"/>
  <c r="C34" i="22" s="1"/>
  <c r="I34" i="22" s="1"/>
  <c r="C92" i="15"/>
  <c r="C85" i="22" s="1"/>
  <c r="I85" i="22" s="1"/>
  <c r="C180" i="15"/>
  <c r="C102" i="15"/>
  <c r="C95" i="22" s="1"/>
  <c r="I95" i="22" s="1"/>
  <c r="B45" i="15"/>
  <c r="B38" i="22" s="1"/>
  <c r="C207" i="15"/>
  <c r="B162" i="15"/>
  <c r="B155" i="22" s="1"/>
  <c r="C123" i="15"/>
  <c r="C116" i="22" s="1"/>
  <c r="I116" i="22" s="1"/>
  <c r="C134" i="15"/>
  <c r="C127" i="22" s="1"/>
  <c r="I127" i="22" s="1"/>
  <c r="C211" i="15"/>
  <c r="C44" i="15"/>
  <c r="C37" i="22" s="1"/>
  <c r="I37" i="22" s="1"/>
  <c r="C18" i="15"/>
  <c r="C11" i="22" s="1"/>
  <c r="I11" i="22" s="1"/>
  <c r="B196" i="15"/>
  <c r="B171" i="15"/>
  <c r="C40" i="15"/>
  <c r="C33" i="22" s="1"/>
  <c r="I33" i="22" s="1"/>
  <c r="C137" i="15"/>
  <c r="C130" i="22" s="1"/>
  <c r="I130" i="22" s="1"/>
  <c r="B190" i="15"/>
  <c r="C17" i="15"/>
  <c r="C10" i="22" s="1"/>
  <c r="I10" i="22" s="1"/>
  <c r="C158" i="15"/>
  <c r="C151" i="22" s="1"/>
  <c r="I151" i="22" s="1"/>
  <c r="C164" i="15"/>
  <c r="C80" i="15"/>
  <c r="C73" i="22" s="1"/>
  <c r="I73" i="22" s="1"/>
  <c r="C33" i="15"/>
  <c r="C26" i="22" s="1"/>
  <c r="I26" i="22" s="1"/>
  <c r="C163" i="15"/>
  <c r="B107" i="15"/>
  <c r="B100" i="22" s="1"/>
  <c r="C97" i="15"/>
  <c r="C90" i="22" s="1"/>
  <c r="I90" i="22" s="1"/>
  <c r="B170" i="15"/>
  <c r="C31" i="15"/>
  <c r="C24" i="22" s="1"/>
  <c r="I24" i="22" s="1"/>
  <c r="C8" i="15"/>
  <c r="C4" i="15"/>
  <c r="C5" i="15"/>
  <c r="B208" i="15"/>
  <c r="B118" i="15"/>
  <c r="B111" i="22" s="1"/>
  <c r="B96" i="15"/>
  <c r="B89" i="22" s="1"/>
  <c r="B94" i="15"/>
  <c r="B87" i="22" s="1"/>
  <c r="C91" i="15"/>
  <c r="C84" i="22" s="1"/>
  <c r="I84" i="22" s="1"/>
  <c r="B59" i="15"/>
  <c r="B52" i="22" s="1"/>
  <c r="B74" i="15"/>
  <c r="B67" i="22" s="1"/>
  <c r="B135" i="15"/>
  <c r="B128" i="22" s="1"/>
  <c r="B142" i="15"/>
  <c r="B135" i="22" s="1"/>
  <c r="B18" i="15"/>
  <c r="B11" i="22" s="1"/>
  <c r="B134" i="15"/>
  <c r="B127" i="22" s="1"/>
  <c r="B67" i="15"/>
  <c r="B60" i="22" s="1"/>
  <c r="B124" i="15"/>
  <c r="B117" i="22" s="1"/>
  <c r="C65" i="15"/>
  <c r="C58" i="22" s="1"/>
  <c r="I58" i="22" s="1"/>
  <c r="C49" i="15"/>
  <c r="C42" i="22" s="1"/>
  <c r="I42" i="22" s="1"/>
  <c r="B115" i="15"/>
  <c r="B108" i="22" s="1"/>
  <c r="C64" i="15"/>
  <c r="C57" i="22" s="1"/>
  <c r="I57" i="22" s="1"/>
  <c r="C83" i="15"/>
  <c r="C76" i="22" s="1"/>
  <c r="I76" i="22" s="1"/>
  <c r="B68" i="15"/>
  <c r="B61" i="22" s="1"/>
  <c r="C88" i="15"/>
  <c r="C81" i="22" s="1"/>
  <c r="I81" i="22" s="1"/>
  <c r="B43" i="15"/>
  <c r="B36" i="22" s="1"/>
  <c r="B26" i="15"/>
  <c r="B19" i="22" s="1"/>
  <c r="C39" i="15"/>
  <c r="C32" i="22" s="1"/>
  <c r="I32" i="22" s="1"/>
  <c r="C87" i="15"/>
  <c r="C80" i="22" s="1"/>
  <c r="I80" i="22" s="1"/>
  <c r="B35" i="15"/>
  <c r="B28" i="22" s="1"/>
  <c r="C206" i="15"/>
  <c r="B60" i="15"/>
  <c r="B53" i="22" s="1"/>
  <c r="C202" i="15"/>
  <c r="B150" i="15"/>
  <c r="B143" i="22" s="1"/>
  <c r="C74" i="15"/>
  <c r="C67" i="22" s="1"/>
  <c r="I67" i="22" s="1"/>
  <c r="B85" i="15"/>
  <c r="B78" i="22" s="1"/>
  <c r="C56" i="15"/>
  <c r="C49" i="22" s="1"/>
  <c r="I49" i="22" s="1"/>
  <c r="C121" i="15"/>
  <c r="C114" i="22" s="1"/>
  <c r="I114" i="22" s="1"/>
  <c r="B27" i="15"/>
  <c r="D224" i="15" s="1"/>
  <c r="C234" i="15" s="1"/>
  <c r="C238" i="15" s="1"/>
  <c r="B176" i="15"/>
  <c r="C23" i="15"/>
  <c r="C16" i="22" s="1"/>
  <c r="I16" i="22" s="1"/>
  <c r="C43" i="15"/>
  <c r="C36" i="22" s="1"/>
  <c r="I36" i="22" s="1"/>
  <c r="B14" i="15"/>
  <c r="B7" i="22" s="1"/>
  <c r="C37" i="15"/>
  <c r="C30" i="22" s="1"/>
  <c r="I30" i="22" s="1"/>
  <c r="B84" i="15"/>
  <c r="B77" i="22" s="1"/>
  <c r="B47" i="15"/>
  <c r="B40" i="22" s="1"/>
  <c r="C129" i="15"/>
  <c r="C122" i="22" s="1"/>
  <c r="I122" i="22" s="1"/>
  <c r="C177" i="15"/>
  <c r="B191" i="15"/>
  <c r="C86" i="15"/>
  <c r="C79" i="22" s="1"/>
  <c r="I79" i="22" s="1"/>
  <c r="C27" i="15"/>
  <c r="D225" i="15" s="1"/>
  <c r="B97" i="15"/>
  <c r="B90" i="22" s="1"/>
  <c r="B30" i="15"/>
  <c r="B23" i="22" s="1"/>
  <c r="B156" i="15"/>
  <c r="B149" i="22" s="1"/>
  <c r="C48" i="15"/>
  <c r="C41" i="22" s="1"/>
  <c r="I41" i="22" s="1"/>
  <c r="C69" i="15"/>
  <c r="C62" i="22" s="1"/>
  <c r="I62" i="22" s="1"/>
  <c r="B153" i="15"/>
  <c r="B146" i="22" s="1"/>
  <c r="C171" i="15"/>
  <c r="C60" i="15"/>
  <c r="C53" i="22" s="1"/>
  <c r="I53" i="22" s="1"/>
  <c r="B91" i="15"/>
  <c r="B84" i="22" s="1"/>
  <c r="B102" i="15"/>
  <c r="B95" i="22" s="1"/>
  <c r="C188" i="15"/>
  <c r="B105" i="15"/>
  <c r="B98" i="22" s="1"/>
  <c r="C58" i="15"/>
  <c r="C51" i="22" s="1"/>
  <c r="I51" i="22" s="1"/>
  <c r="C209" i="15"/>
  <c r="C157" i="15"/>
  <c r="C150" i="22" s="1"/>
  <c r="I150" i="22" s="1"/>
  <c r="C197" i="15"/>
  <c r="B37" i="15"/>
  <c r="B30" i="22" s="1"/>
  <c r="B82" i="15"/>
  <c r="B75" i="22" s="1"/>
  <c r="C75" i="15"/>
  <c r="C68" i="22" s="1"/>
  <c r="I68" i="22" s="1"/>
  <c r="B62" i="15"/>
  <c r="F224" i="15" s="1"/>
  <c r="E234" i="15" s="1"/>
  <c r="E238" i="15" s="1"/>
  <c r="B12" i="15"/>
  <c r="B11" i="15"/>
  <c r="C7" i="15"/>
  <c r="B10" i="15"/>
  <c r="B54" i="15"/>
  <c r="B47" i="22" s="1"/>
  <c r="B38" i="15"/>
  <c r="B31" i="22" s="1"/>
  <c r="B154" i="15"/>
  <c r="B147" i="22" s="1"/>
  <c r="B188" i="15"/>
  <c r="B53" i="15"/>
  <c r="B46" i="22" s="1"/>
  <c r="B187" i="15"/>
  <c r="B39" i="15"/>
  <c r="B32" i="22" s="1"/>
  <c r="B161" i="15"/>
  <c r="B154" i="22" s="1"/>
  <c r="C161" i="15"/>
  <c r="C154" i="22" s="1"/>
  <c r="I154" i="22" s="1"/>
  <c r="C117" i="15"/>
  <c r="C110" i="22" s="1"/>
  <c r="I110" i="22" s="1"/>
  <c r="C21" i="15"/>
  <c r="C14" i="22" s="1"/>
  <c r="I14" i="22" s="1"/>
  <c r="C103" i="15"/>
  <c r="C96" i="22" s="1"/>
  <c r="I96" i="22" s="1"/>
  <c r="B127" i="15"/>
  <c r="B120" i="22" s="1"/>
  <c r="C79" i="15"/>
  <c r="C72" i="22" s="1"/>
  <c r="I72" i="22" s="1"/>
  <c r="C108" i="15"/>
  <c r="C101" i="22" s="1"/>
  <c r="I101" i="22" s="1"/>
  <c r="C55" i="15"/>
  <c r="C48" i="22" s="1"/>
  <c r="I48" i="22" s="1"/>
  <c r="B113" i="15"/>
  <c r="B106" i="22" s="1"/>
  <c r="B77" i="15"/>
  <c r="B70" i="22" s="1"/>
  <c r="B177" i="15"/>
  <c r="B128" i="15"/>
  <c r="B121" i="22" s="1"/>
  <c r="C148" i="15"/>
  <c r="C141" i="22" s="1"/>
  <c r="I141" i="22" s="1"/>
  <c r="B66" i="15"/>
  <c r="B59" i="22" s="1"/>
  <c r="C95" i="15"/>
  <c r="C88" i="22" s="1"/>
  <c r="I88" i="22" s="1"/>
  <c r="B34" i="15"/>
  <c r="B27" i="22" s="1"/>
  <c r="C178" i="15"/>
  <c r="B7" i="15"/>
  <c r="C11" i="15"/>
  <c r="B58" i="15"/>
  <c r="B51" i="22" s="1"/>
  <c r="B103" i="15"/>
  <c r="B96" i="22" s="1"/>
  <c r="B16" i="15"/>
  <c r="B9" i="22" s="1"/>
  <c r="B132" i="15"/>
  <c r="B125" i="22" s="1"/>
  <c r="C68" i="15"/>
  <c r="C61" i="22" s="1"/>
  <c r="I61" i="22" s="1"/>
  <c r="C205" i="15"/>
  <c r="B46" i="15"/>
  <c r="B39" i="22" s="1"/>
  <c r="B201" i="15"/>
  <c r="B195" i="15"/>
  <c r="C70" i="15"/>
  <c r="C63" i="22" s="1"/>
  <c r="I63" i="22" s="1"/>
  <c r="C182" i="15"/>
  <c r="B31" i="15"/>
  <c r="B24" i="22" s="1"/>
  <c r="B185" i="15"/>
  <c r="B183" i="15"/>
  <c r="C112" i="15"/>
  <c r="G225" i="15" s="1"/>
  <c r="B166" i="15"/>
  <c r="B210" i="15"/>
  <c r="C172" i="15"/>
  <c r="C90" i="15"/>
  <c r="C83" i="22" s="1"/>
  <c r="I83" i="22" s="1"/>
  <c r="B64" i="15"/>
  <c r="B57" i="22" s="1"/>
  <c r="C208" i="15"/>
  <c r="C150" i="15"/>
  <c r="C143" i="22" s="1"/>
  <c r="I143" i="22" s="1"/>
  <c r="C94" i="15"/>
  <c r="C87" i="22" s="1"/>
  <c r="I87" i="22" s="1"/>
  <c r="B100" i="15"/>
  <c r="B93" i="22" s="1"/>
  <c r="B189" i="15"/>
  <c r="C135" i="15"/>
  <c r="C128" i="22" s="1"/>
  <c r="I128" i="22" s="1"/>
  <c r="B137" i="15"/>
  <c r="B130" i="22" s="1"/>
  <c r="B36" i="15"/>
  <c r="B29" i="22" s="1"/>
  <c r="C42" i="15"/>
  <c r="C35" i="22" s="1"/>
  <c r="I35" i="22" s="1"/>
  <c r="C120" i="15"/>
  <c r="C113" i="22" s="1"/>
  <c r="I113" i="22" s="1"/>
  <c r="C179" i="15"/>
  <c r="B56" i="15"/>
  <c r="B49" i="22" s="1"/>
  <c r="C13" i="15"/>
  <c r="C6" i="22" s="1"/>
  <c r="I6" i="22" s="1"/>
  <c r="C191" i="15"/>
  <c r="C143" i="15"/>
  <c r="C136" i="22" s="1"/>
  <c r="I136" i="22" s="1"/>
  <c r="B168" i="15"/>
  <c r="C24" i="15"/>
  <c r="C17" i="22" s="1"/>
  <c r="I17" i="22" s="1"/>
  <c r="B32" i="15"/>
  <c r="E224" i="15" s="1"/>
  <c r="D234" i="15" s="1"/>
  <c r="D238" i="15" s="1"/>
  <c r="B22" i="15"/>
  <c r="B15" i="22" s="1"/>
  <c r="B148" i="15"/>
  <c r="B141" i="22" s="1"/>
  <c r="C45" i="15"/>
  <c r="C38" i="22" s="1"/>
  <c r="I38" i="22" s="1"/>
  <c r="B40" i="15"/>
  <c r="B33" i="22" s="1"/>
  <c r="C16" i="15"/>
  <c r="C9" i="22" s="1"/>
  <c r="I9" i="22" s="1"/>
  <c r="B95" i="15"/>
  <c r="B88" i="22" s="1"/>
  <c r="C141" i="15"/>
  <c r="C134" i="22" s="1"/>
  <c r="I134" i="22" s="1"/>
  <c r="C52" i="15"/>
  <c r="C45" i="22" s="1"/>
  <c r="I45" i="22" s="1"/>
  <c r="C181" i="15"/>
  <c r="C46" i="15"/>
  <c r="C39" i="22" s="1"/>
  <c r="I39" i="22" s="1"/>
  <c r="B209" i="15"/>
  <c r="B145" i="15"/>
  <c r="B138" i="22" s="1"/>
  <c r="C81" i="15"/>
  <c r="C74" i="22" s="1"/>
  <c r="I74" i="22" s="1"/>
  <c r="C12" i="15"/>
  <c r="B110" i="15"/>
  <c r="B103" i="22" s="1"/>
  <c r="B174" i="15"/>
  <c r="B19" i="15"/>
  <c r="B12" i="22" s="1"/>
  <c r="B155" i="15"/>
  <c r="B148" i="22" s="1"/>
  <c r="B69" i="15"/>
  <c r="B62" i="22" s="1"/>
  <c r="B42" i="15"/>
  <c r="B35" i="22" s="1"/>
  <c r="B79" i="15"/>
  <c r="B72" i="22" s="1"/>
  <c r="B92" i="15"/>
  <c r="B85" i="22" s="1"/>
  <c r="B72" i="15"/>
  <c r="B65" i="22" s="1"/>
  <c r="B193" i="15"/>
  <c r="B181" i="15"/>
  <c r="C196" i="15"/>
  <c r="C145" i="15"/>
  <c r="C138" i="22" s="1"/>
  <c r="I138" i="22" s="1"/>
  <c r="B212" i="15"/>
  <c r="B119" i="15"/>
  <c r="B112" i="22" s="1"/>
  <c r="C105" i="15"/>
  <c r="C98" i="22" s="1"/>
  <c r="I98" i="22" s="1"/>
  <c r="C132" i="15"/>
  <c r="C125" i="22" s="1"/>
  <c r="I125" i="22" s="1"/>
  <c r="C192" i="15"/>
  <c r="C32" i="15"/>
  <c r="E225" i="15" s="1"/>
  <c r="B152" i="15"/>
  <c r="B145" i="22" s="1"/>
  <c r="B211" i="15"/>
  <c r="B21" i="15"/>
  <c r="B14" i="22" s="1"/>
  <c r="B178" i="15"/>
  <c r="C203" i="15"/>
  <c r="C35" i="15"/>
  <c r="C28" i="22" s="1"/>
  <c r="I28" i="22" s="1"/>
  <c r="C170" i="15"/>
  <c r="C118" i="15"/>
  <c r="C111" i="22" s="1"/>
  <c r="I111" i="22" s="1"/>
  <c r="C53" i="15"/>
  <c r="C46" i="22" s="1"/>
  <c r="I46" i="22" s="1"/>
  <c r="C54" i="15"/>
  <c r="C47" i="22" s="1"/>
  <c r="I47" i="22" s="1"/>
  <c r="B76" i="15"/>
  <c r="B69" i="22" s="1"/>
  <c r="B140" i="15"/>
  <c r="B133" i="22" s="1"/>
  <c r="B199" i="15"/>
  <c r="B139" i="15"/>
  <c r="B132" i="22" s="1"/>
  <c r="C59" i="15"/>
  <c r="C52" i="22" s="1"/>
  <c r="I52" i="22" s="1"/>
  <c r="B81" i="15"/>
  <c r="B74" i="22" s="1"/>
  <c r="C133" i="15"/>
  <c r="C126" i="22" s="1"/>
  <c r="I126" i="22" s="1"/>
  <c r="C165" i="15"/>
  <c r="B89" i="15"/>
  <c r="B82" i="22" s="1"/>
  <c r="B205" i="15"/>
  <c r="B167" i="15"/>
  <c r="C146" i="15"/>
  <c r="C139" i="22" s="1"/>
  <c r="I139" i="22" s="1"/>
  <c r="C128" i="15"/>
  <c r="C121" i="22" s="1"/>
  <c r="I121" i="22" s="1"/>
  <c r="C77" i="15"/>
  <c r="C70" i="22" s="1"/>
  <c r="I70" i="22" s="1"/>
  <c r="B131" i="15"/>
  <c r="B124" i="22" s="1"/>
  <c r="C199" i="15"/>
  <c r="C168" i="15"/>
  <c r="C110" i="15"/>
  <c r="C103" i="22" s="1"/>
  <c r="I103" i="22" s="1"/>
  <c r="C66" i="15"/>
  <c r="C59" i="22" s="1"/>
  <c r="I59" i="22" s="1"/>
  <c r="B80" i="15"/>
  <c r="B73" i="22" s="1"/>
  <c r="B112" i="15"/>
  <c r="G224" i="15" s="1"/>
  <c r="F234" i="15" s="1"/>
  <c r="F238" i="15" s="1"/>
  <c r="C57" i="15"/>
  <c r="C50" i="22" s="1"/>
  <c r="I50" i="22" s="1"/>
  <c r="C113" i="15"/>
  <c r="C106" i="22" s="1"/>
  <c r="I106" i="22" s="1"/>
  <c r="C127" i="15"/>
  <c r="C120" i="22" s="1"/>
  <c r="I120" i="22" s="1"/>
  <c r="C142" i="15"/>
  <c r="C135" i="22" s="1"/>
  <c r="I135" i="22" s="1"/>
  <c r="C62" i="15"/>
  <c r="F225" i="15" s="1"/>
  <c r="B8" i="15"/>
  <c r="B207" i="15"/>
  <c r="B184" i="15"/>
  <c r="B41" i="15"/>
  <c r="B34" i="22" s="1"/>
  <c r="B173" i="15"/>
  <c r="B109" i="15"/>
  <c r="B102" i="22" s="1"/>
  <c r="B83" i="15"/>
  <c r="B76" i="22" s="1"/>
  <c r="B120" i="15"/>
  <c r="B113" i="22" s="1"/>
  <c r="C28" i="15"/>
  <c r="C21" i="22" s="1"/>
  <c r="I21" i="22" s="1"/>
  <c r="C124" i="15"/>
  <c r="C117" i="22" s="1"/>
  <c r="I117" i="22" s="1"/>
  <c r="B101" i="15"/>
  <c r="B94" i="22" s="1"/>
  <c r="C93" i="15"/>
  <c r="C86" i="22" s="1"/>
  <c r="I86" i="22" s="1"/>
  <c r="B104" i="15"/>
  <c r="B97" i="22" s="1"/>
  <c r="C149" i="15"/>
  <c r="C142" i="22" s="1"/>
  <c r="I142" i="22" s="1"/>
  <c r="B157" i="15"/>
  <c r="B150" i="22" s="1"/>
  <c r="B151" i="15"/>
  <c r="B144" i="22" s="1"/>
  <c r="C183" i="15"/>
  <c r="C198" i="15"/>
  <c r="B71" i="15"/>
  <c r="B64" i="22" s="1"/>
  <c r="B146" i="15"/>
  <c r="B139" i="22" s="1"/>
  <c r="B165" i="15"/>
  <c r="C115" i="15"/>
  <c r="C108" i="22" s="1"/>
  <c r="I108" i="22" s="1"/>
  <c r="C155" i="15"/>
  <c r="C148" i="22" s="1"/>
  <c r="I148" i="22" s="1"/>
  <c r="B138" i="15"/>
  <c r="B131" i="22" s="1"/>
  <c r="C15" i="15"/>
  <c r="C8" i="22" s="1"/>
  <c r="I8" i="22" s="1"/>
  <c r="B133" i="15"/>
  <c r="B126" i="22" s="1"/>
  <c r="B33" i="15"/>
  <c r="B26" i="22" s="1"/>
  <c r="C162" i="15"/>
  <c r="C155" i="22" s="1"/>
  <c r="I155" i="22" s="1"/>
  <c r="C14" i="15"/>
  <c r="C7" i="22" s="1"/>
  <c r="I7" i="22" s="1"/>
  <c r="C185" i="15"/>
  <c r="C136" i="15"/>
  <c r="C129" i="22" s="1"/>
  <c r="I129" i="22" s="1"/>
  <c r="C144" i="15"/>
  <c r="C137" i="22" s="1"/>
  <c r="I137" i="22" s="1"/>
  <c r="C67" i="15"/>
  <c r="C60" i="22" s="1"/>
  <c r="I60" i="22" s="1"/>
  <c r="B78" i="15"/>
  <c r="B71" i="22" s="1"/>
  <c r="C151" i="15"/>
  <c r="C144" i="22" s="1"/>
  <c r="I144" i="22" s="1"/>
  <c r="B125" i="15"/>
  <c r="B118" i="22" s="1"/>
  <c r="C176" i="15"/>
  <c r="B20" i="15"/>
  <c r="B13" i="22" s="1"/>
  <c r="C38" i="15"/>
  <c r="C31" i="22" s="1"/>
  <c r="I31" i="22" s="1"/>
  <c r="C193" i="15"/>
  <c r="B44" i="15"/>
  <c r="B37" i="22" s="1"/>
  <c r="C82" i="15"/>
  <c r="C75" i="22" s="1"/>
  <c r="I75" i="22" s="1"/>
  <c r="C101" i="15"/>
  <c r="C94" i="22" s="1"/>
  <c r="I94" i="22" s="1"/>
  <c r="C100" i="15"/>
  <c r="C93" i="22" s="1"/>
  <c r="I93" i="22" s="1"/>
  <c r="B57" i="15"/>
  <c r="B50" i="22" s="1"/>
  <c r="C22" i="15"/>
  <c r="C15" i="22" s="1"/>
  <c r="I15" i="22" s="1"/>
  <c r="B23" i="15"/>
  <c r="B16" i="22" s="1"/>
  <c r="B48" i="15"/>
  <c r="B41" i="22" s="1"/>
  <c r="C111" i="15"/>
  <c r="C104" i="22" s="1"/>
  <c r="I104" i="22" s="1"/>
  <c r="C73" i="15"/>
  <c r="C66" i="22" s="1"/>
  <c r="I66" i="22" s="1"/>
  <c r="C72" i="15"/>
  <c r="C65" i="22" s="1"/>
  <c r="I65" i="22" s="1"/>
  <c r="C96" i="15"/>
  <c r="C89" i="22" s="1"/>
  <c r="I89" i="22" s="1"/>
  <c r="B87" i="15"/>
  <c r="B80" i="22" s="1"/>
  <c r="C19" i="15"/>
  <c r="C12" i="22" s="1"/>
  <c r="I12" i="22" s="1"/>
  <c r="B121" i="15"/>
  <c r="B114" i="22" s="1"/>
  <c r="B117" i="15"/>
  <c r="B110" i="22" s="1"/>
  <c r="C10" i="15"/>
  <c r="B9" i="15"/>
  <c r="B15" i="15"/>
  <c r="B8" i="22" s="1"/>
  <c r="B182" i="15"/>
  <c r="B73" i="15"/>
  <c r="B66" i="22" s="1"/>
  <c r="B202" i="15"/>
  <c r="B13" i="15"/>
  <c r="B6" i="22" s="1"/>
  <c r="B129" i="15"/>
  <c r="B122" i="22" s="1"/>
  <c r="C167" i="15"/>
  <c r="C156" i="15"/>
  <c r="C149" i="22" s="1"/>
  <c r="I149" i="22" s="1"/>
  <c r="B50" i="15"/>
  <c r="B43" i="22" s="1"/>
  <c r="C159" i="15"/>
  <c r="C152" i="22" s="1"/>
  <c r="I152" i="22" s="1"/>
  <c r="C153" i="15"/>
  <c r="C146" i="22" s="1"/>
  <c r="I146" i="22" s="1"/>
  <c r="C174" i="15"/>
  <c r="B25" i="15"/>
  <c r="B18" i="22" s="1"/>
  <c r="C20" i="15"/>
  <c r="C13" i="22" s="1"/>
  <c r="I13" i="22" s="1"/>
  <c r="C154" i="15"/>
  <c r="C147" i="22" s="1"/>
  <c r="I147" i="22" s="1"/>
  <c r="B86" i="15"/>
  <c r="B79" i="22" s="1"/>
  <c r="C84" i="15"/>
  <c r="C77" i="22" s="1"/>
  <c r="I77" i="22" s="1"/>
  <c r="B186" i="15"/>
  <c r="C126" i="15"/>
  <c r="C119" i="22" s="1"/>
  <c r="I119" i="22" s="1"/>
  <c r="B200" i="15"/>
  <c r="C50" i="15"/>
  <c r="C43" i="22" s="1"/>
  <c r="I43" i="22" s="1"/>
  <c r="C184" i="15"/>
  <c r="C61" i="15"/>
  <c r="C54" i="22" s="1"/>
  <c r="I54" i="22" s="1"/>
  <c r="B126" i="15"/>
  <c r="B119" i="22" s="1"/>
  <c r="B63" i="15"/>
  <c r="B56" i="22" s="1"/>
  <c r="B149" i="15"/>
  <c r="B142" i="22" s="1"/>
  <c r="C104" i="15"/>
  <c r="C97" i="22" s="1"/>
  <c r="I97" i="22" s="1"/>
  <c r="C71" i="15"/>
  <c r="C64" i="22" s="1"/>
  <c r="I64" i="22" s="1"/>
  <c r="C152" i="15"/>
  <c r="C145" i="22" s="1"/>
  <c r="I145" i="22" s="1"/>
  <c r="B175" i="15"/>
  <c r="C116" i="15"/>
  <c r="C109" i="22" s="1"/>
  <c r="I109" i="22" s="1"/>
  <c r="B108" i="15"/>
  <c r="B101" i="22" s="1"/>
  <c r="C25" i="15"/>
  <c r="C18" i="22" s="1"/>
  <c r="I18" i="22" s="1"/>
  <c r="C131" i="15"/>
  <c r="C124" i="22" s="1"/>
  <c r="I124" i="22" s="1"/>
  <c r="C147" i="15"/>
  <c r="C140" i="22" s="1"/>
  <c r="I140" i="22" s="1"/>
  <c r="C175" i="15"/>
  <c r="C201" i="15"/>
  <c r="B192" i="15"/>
  <c r="C47" i="15"/>
  <c r="C40" i="22" s="1"/>
  <c r="I40" i="22" s="1"/>
  <c r="C98" i="15"/>
  <c r="C91" i="22" s="1"/>
  <c r="I91" i="22" s="1"/>
  <c r="C190" i="15"/>
  <c r="B198" i="15"/>
  <c r="B90" i="15"/>
  <c r="B83" i="22" s="1"/>
  <c r="C169" i="15"/>
  <c r="B130" i="15"/>
  <c r="B123" i="22" s="1"/>
  <c r="B88" i="15"/>
  <c r="B81" i="22" s="1"/>
  <c r="B169" i="15"/>
  <c r="C130" i="15"/>
  <c r="C123" i="22" s="1"/>
  <c r="I123" i="22" s="1"/>
  <c r="C26" i="15"/>
  <c r="C19" i="22" s="1"/>
  <c r="I19" i="22" s="1"/>
  <c r="B61" i="15"/>
  <c r="B54" i="22" s="1"/>
  <c r="C89" i="15"/>
  <c r="C82" i="22" s="1"/>
  <c r="I82" i="22" s="1"/>
  <c r="C125" i="15"/>
  <c r="C118" i="22" s="1"/>
  <c r="I118" i="22" s="1"/>
  <c r="C114" i="15"/>
  <c r="C107" i="22" s="1"/>
  <c r="I107" i="22" s="1"/>
  <c r="C29" i="15"/>
  <c r="C22" i="22" s="1"/>
  <c r="I22" i="22" s="1"/>
  <c r="C34" i="15"/>
  <c r="C27" i="22" s="1"/>
  <c r="I27" i="22" s="1"/>
  <c r="B39" i="28" l="1"/>
  <c r="B55" i="28"/>
  <c r="B71" i="28"/>
  <c r="B87" i="28"/>
  <c r="B103" i="28"/>
  <c r="B119" i="28"/>
  <c r="B135" i="28"/>
  <c r="B151" i="28"/>
  <c r="B167" i="28"/>
  <c r="B183" i="28"/>
  <c r="B199" i="28"/>
  <c r="B215" i="28"/>
  <c r="B231" i="28"/>
  <c r="B38" i="28"/>
  <c r="B54" i="28"/>
  <c r="B70" i="28"/>
  <c r="B86" i="28"/>
  <c r="B102" i="28"/>
  <c r="B118" i="28"/>
  <c r="B134" i="28"/>
  <c r="B150" i="28"/>
  <c r="B166" i="28"/>
  <c r="B182" i="28"/>
  <c r="B198" i="28"/>
  <c r="B214" i="28"/>
  <c r="B230" i="28"/>
  <c r="B37" i="28"/>
  <c r="B53" i="28"/>
  <c r="B69" i="28"/>
  <c r="B85" i="28"/>
  <c r="B101" i="28"/>
  <c r="B117" i="28"/>
  <c r="B133" i="28"/>
  <c r="B149" i="28"/>
  <c r="B165" i="28"/>
  <c r="B181" i="28"/>
  <c r="B197" i="28"/>
  <c r="B213" i="28"/>
  <c r="B229" i="28"/>
  <c r="B36" i="28"/>
  <c r="B52" i="28"/>
  <c r="B68" i="28"/>
  <c r="B84" i="28"/>
  <c r="B100" i="28"/>
  <c r="B116" i="28"/>
  <c r="B132" i="28"/>
  <c r="B148" i="28"/>
  <c r="B164" i="28"/>
  <c r="B180" i="28"/>
  <c r="B196" i="28"/>
  <c r="B212" i="28"/>
  <c r="B228" i="28"/>
  <c r="B64" i="28"/>
  <c r="B96" i="28"/>
  <c r="B128" i="28"/>
  <c r="B144" i="28"/>
  <c r="B176" i="28"/>
  <c r="B192" i="28"/>
  <c r="B224" i="28"/>
  <c r="B92" i="28"/>
  <c r="B140" i="28"/>
  <c r="B172" i="28"/>
  <c r="B204" i="28"/>
  <c r="B27" i="28"/>
  <c r="B75" i="28"/>
  <c r="B91" i="28"/>
  <c r="B123" i="28"/>
  <c r="B139" i="28"/>
  <c r="B187" i="28"/>
  <c r="B203" i="28"/>
  <c r="B42" i="28"/>
  <c r="B74" i="28"/>
  <c r="B106" i="28"/>
  <c r="B154" i="28"/>
  <c r="B170" i="28"/>
  <c r="B218" i="28"/>
  <c r="B25" i="28"/>
  <c r="B73" i="28"/>
  <c r="B121" i="28"/>
  <c r="B137" i="28"/>
  <c r="B185" i="28"/>
  <c r="B201" i="28"/>
  <c r="B40" i="28"/>
  <c r="B56" i="28"/>
  <c r="B104" i="28"/>
  <c r="B152" i="28"/>
  <c r="B168" i="28"/>
  <c r="B216" i="28"/>
  <c r="B232" i="28"/>
  <c r="B35" i="28"/>
  <c r="B51" i="28"/>
  <c r="B67" i="28"/>
  <c r="B83" i="28"/>
  <c r="B99" i="28"/>
  <c r="B115" i="28"/>
  <c r="B131" i="28"/>
  <c r="B147" i="28"/>
  <c r="B163" i="28"/>
  <c r="B179" i="28"/>
  <c r="B195" i="28"/>
  <c r="B211" i="28"/>
  <c r="B227" i="28"/>
  <c r="B34" i="28"/>
  <c r="B50" i="28"/>
  <c r="B66" i="28"/>
  <c r="B82" i="28"/>
  <c r="D5" i="30" s="1"/>
  <c r="B98" i="28"/>
  <c r="B114" i="28"/>
  <c r="B130" i="28"/>
  <c r="B146" i="28"/>
  <c r="B162" i="28"/>
  <c r="B178" i="28"/>
  <c r="B194" i="28"/>
  <c r="B210" i="28"/>
  <c r="B226" i="28"/>
  <c r="B33" i="28"/>
  <c r="B49" i="28"/>
  <c r="B65" i="28"/>
  <c r="B81" i="28"/>
  <c r="B97" i="28"/>
  <c r="B113" i="28"/>
  <c r="B129" i="28"/>
  <c r="B145" i="28"/>
  <c r="B161" i="28"/>
  <c r="B177" i="28"/>
  <c r="B193" i="28"/>
  <c r="B209" i="28"/>
  <c r="B225" i="28"/>
  <c r="B32" i="28"/>
  <c r="B48" i="28"/>
  <c r="B80" i="28"/>
  <c r="B112" i="28"/>
  <c r="B160" i="28"/>
  <c r="B208" i="28"/>
  <c r="B124" i="28"/>
  <c r="B188" i="28"/>
  <c r="B43" i="28"/>
  <c r="B107" i="28"/>
  <c r="B171" i="28"/>
  <c r="B26" i="28"/>
  <c r="B58" i="28"/>
  <c r="B122" i="28"/>
  <c r="B186" i="28"/>
  <c r="B41" i="28"/>
  <c r="B105" i="28"/>
  <c r="B169" i="28"/>
  <c r="B217" i="28"/>
  <c r="B88" i="28"/>
  <c r="B120" i="28"/>
  <c r="B184" i="28"/>
  <c r="B31" i="28"/>
  <c r="B47" i="28"/>
  <c r="C5" i="30" s="1"/>
  <c r="B63" i="28"/>
  <c r="B79" i="28"/>
  <c r="B95" i="28"/>
  <c r="B111" i="28"/>
  <c r="B127" i="28"/>
  <c r="B143" i="28"/>
  <c r="B159" i="28"/>
  <c r="B175" i="28"/>
  <c r="B191" i="28"/>
  <c r="B207" i="28"/>
  <c r="B223" i="28"/>
  <c r="B30" i="28"/>
  <c r="B46" i="28"/>
  <c r="B62" i="28"/>
  <c r="B78" i="28"/>
  <c r="B94" i="28"/>
  <c r="B110" i="28"/>
  <c r="B126" i="28"/>
  <c r="B142" i="28"/>
  <c r="B158" i="28"/>
  <c r="B174" i="28"/>
  <c r="B190" i="28"/>
  <c r="B206" i="28"/>
  <c r="B222" i="28"/>
  <c r="B29" i="28"/>
  <c r="B45" i="28"/>
  <c r="B61" i="28"/>
  <c r="B77" i="28"/>
  <c r="B93" i="28"/>
  <c r="B109" i="28"/>
  <c r="B125" i="28"/>
  <c r="B141" i="28"/>
  <c r="B157" i="28"/>
  <c r="B173" i="28"/>
  <c r="B189" i="28"/>
  <c r="B205" i="28"/>
  <c r="B221" i="28"/>
  <c r="B28" i="28"/>
  <c r="B44" i="28"/>
  <c r="B60" i="28"/>
  <c r="B76" i="28"/>
  <c r="B108" i="28"/>
  <c r="B156" i="28"/>
  <c r="B220" i="28"/>
  <c r="B59" i="28"/>
  <c r="B155" i="28"/>
  <c r="B219" i="28"/>
  <c r="B90" i="28"/>
  <c r="B138" i="28"/>
  <c r="B202" i="28"/>
  <c r="B57" i="28"/>
  <c r="B89" i="28"/>
  <c r="B153" i="28"/>
  <c r="B24" i="28"/>
  <c r="B72" i="28"/>
  <c r="B136" i="28"/>
  <c r="B200" i="28"/>
  <c r="B217" i="1"/>
  <c r="I217" i="1"/>
  <c r="A218" i="1"/>
  <c r="G217" i="1"/>
  <c r="O217" i="1"/>
  <c r="K217" i="1"/>
  <c r="E217" i="1"/>
  <c r="C217" i="1"/>
  <c r="M217" i="1"/>
  <c r="J217" i="1"/>
  <c r="L217" i="1"/>
  <c r="D217" i="1"/>
  <c r="F217" i="1"/>
  <c r="H217" i="1"/>
  <c r="N217" i="1"/>
  <c r="P217" i="1"/>
  <c r="B105" i="22"/>
  <c r="B25" i="22"/>
  <c r="C55" i="22"/>
  <c r="C25" i="22"/>
  <c r="C105" i="22"/>
  <c r="B55" i="22"/>
  <c r="C20" i="22"/>
  <c r="B20" i="22"/>
  <c r="E5" i="30" l="1"/>
  <c r="B218" i="1"/>
  <c r="I218" i="1"/>
  <c r="A219" i="1"/>
  <c r="G218" i="1"/>
  <c r="O218" i="1"/>
  <c r="K218" i="1"/>
  <c r="E218" i="1"/>
  <c r="C218" i="1"/>
  <c r="M218" i="1"/>
  <c r="L218" i="1"/>
  <c r="D218" i="1"/>
  <c r="N218" i="1"/>
  <c r="F218" i="1"/>
  <c r="H218" i="1"/>
  <c r="J218" i="1"/>
  <c r="P218" i="1"/>
  <c r="Q20" i="12"/>
  <c r="I55" i="22"/>
  <c r="Q24" i="12" s="1"/>
  <c r="I20" i="22"/>
  <c r="O24" i="12" s="1"/>
  <c r="O20" i="12"/>
  <c r="R20" i="12"/>
  <c r="I105" i="22"/>
  <c r="R24" i="12" s="1"/>
  <c r="P20" i="12"/>
  <c r="I25" i="22"/>
  <c r="P24" i="12" s="1"/>
  <c r="B219" i="1" l="1"/>
  <c r="I219" i="1"/>
  <c r="A220" i="1"/>
  <c r="G219" i="1"/>
  <c r="O219" i="1"/>
  <c r="K219" i="1"/>
  <c r="E219" i="1"/>
  <c r="C219" i="1"/>
  <c r="M219" i="1"/>
  <c r="N219" i="1"/>
  <c r="F219" i="1"/>
  <c r="P219" i="1"/>
  <c r="H219" i="1"/>
  <c r="J219" i="1"/>
  <c r="L219" i="1"/>
  <c r="D219" i="1"/>
  <c r="B220" i="1" l="1"/>
  <c r="I220" i="1"/>
  <c r="A221" i="1"/>
  <c r="G220" i="1"/>
  <c r="O220" i="1"/>
  <c r="K220" i="1"/>
  <c r="E220" i="1"/>
  <c r="C220" i="1"/>
  <c r="M220" i="1"/>
  <c r="P220" i="1"/>
  <c r="H220" i="1"/>
  <c r="J220" i="1"/>
  <c r="L220" i="1"/>
  <c r="N220" i="1"/>
  <c r="D220" i="1"/>
  <c r="F220" i="1"/>
  <c r="B221" i="1" l="1"/>
  <c r="I221" i="1"/>
  <c r="A222" i="1"/>
  <c r="G221" i="1"/>
  <c r="O221" i="1"/>
  <c r="K221" i="1"/>
  <c r="E221" i="1"/>
  <c r="C221" i="1"/>
  <c r="M221" i="1"/>
  <c r="J221" i="1"/>
  <c r="L221" i="1"/>
  <c r="D221" i="1"/>
  <c r="N221" i="1"/>
  <c r="P221" i="1"/>
  <c r="F221" i="1"/>
  <c r="H221" i="1"/>
  <c r="B222" i="1" l="1"/>
  <c r="I222" i="1"/>
  <c r="A223" i="1"/>
  <c r="G222" i="1"/>
  <c r="O222" i="1"/>
  <c r="K222" i="1"/>
  <c r="E222" i="1"/>
  <c r="C222" i="1"/>
  <c r="M222" i="1"/>
  <c r="L222" i="1"/>
  <c r="D222" i="1"/>
  <c r="N222" i="1"/>
  <c r="F222" i="1"/>
  <c r="P222" i="1"/>
  <c r="H222" i="1"/>
  <c r="J222" i="1"/>
  <c r="B223" i="1" l="1"/>
  <c r="I223" i="1"/>
  <c r="A224" i="1"/>
  <c r="G223" i="1"/>
  <c r="O223" i="1"/>
  <c r="K223" i="1"/>
  <c r="E223" i="1"/>
  <c r="C223" i="1"/>
  <c r="M223" i="1"/>
  <c r="N223" i="1"/>
  <c r="F223" i="1"/>
  <c r="P223" i="1"/>
  <c r="H223" i="1"/>
  <c r="D223" i="1"/>
  <c r="J223" i="1"/>
  <c r="L223" i="1"/>
  <c r="B224" i="1" l="1"/>
  <c r="I224" i="1"/>
  <c r="A225" i="1"/>
  <c r="G224" i="1"/>
  <c r="O224" i="1"/>
  <c r="K224" i="1"/>
  <c r="E224" i="1"/>
  <c r="C224" i="1"/>
  <c r="M224" i="1"/>
  <c r="P224" i="1"/>
  <c r="H224" i="1"/>
  <c r="J224" i="1"/>
  <c r="D224" i="1"/>
  <c r="F224" i="1"/>
  <c r="L224" i="1"/>
  <c r="N224" i="1"/>
  <c r="B225" i="1" l="1"/>
  <c r="I225" i="1"/>
  <c r="A226" i="1"/>
  <c r="G225" i="1"/>
  <c r="O225" i="1"/>
  <c r="K225" i="1"/>
  <c r="E225" i="1"/>
  <c r="C225" i="1"/>
  <c r="M225" i="1"/>
  <c r="J225" i="1"/>
  <c r="L225" i="1"/>
  <c r="D225" i="1"/>
  <c r="F225" i="1"/>
  <c r="H225" i="1"/>
  <c r="N225" i="1"/>
  <c r="P225" i="1"/>
  <c r="B226" i="1" l="1"/>
  <c r="I226" i="1"/>
  <c r="A227" i="1"/>
  <c r="G226" i="1"/>
  <c r="O226" i="1"/>
  <c r="K226" i="1"/>
  <c r="E226" i="1"/>
  <c r="C226" i="1"/>
  <c r="M226" i="1"/>
  <c r="L226" i="1"/>
  <c r="D226" i="1"/>
  <c r="N226" i="1"/>
  <c r="F226" i="1"/>
  <c r="H226" i="1"/>
  <c r="J226" i="1"/>
  <c r="P226" i="1"/>
  <c r="B227" i="1" l="1"/>
  <c r="I227" i="1"/>
  <c r="A228" i="1"/>
  <c r="G227" i="1"/>
  <c r="O227" i="1"/>
  <c r="K227" i="1"/>
  <c r="E227" i="1"/>
  <c r="C227" i="1"/>
  <c r="M227" i="1"/>
  <c r="N227" i="1"/>
  <c r="F227" i="1"/>
  <c r="P227" i="1"/>
  <c r="H227" i="1"/>
  <c r="J227" i="1"/>
  <c r="L227" i="1"/>
  <c r="D227" i="1"/>
  <c r="B228" i="1" l="1"/>
  <c r="I228" i="1"/>
  <c r="A229" i="1"/>
  <c r="G228" i="1"/>
  <c r="O228" i="1"/>
  <c r="K228" i="1"/>
  <c r="E228" i="1"/>
  <c r="C228" i="1"/>
  <c r="M228" i="1"/>
  <c r="P228" i="1"/>
  <c r="H228" i="1"/>
  <c r="J228" i="1"/>
  <c r="L228" i="1"/>
  <c r="N228" i="1"/>
  <c r="D228" i="1"/>
  <c r="F228" i="1"/>
  <c r="B229" i="1" l="1"/>
  <c r="I229" i="1"/>
  <c r="A230" i="1"/>
  <c r="G229" i="1"/>
  <c r="O229" i="1"/>
  <c r="K229" i="1"/>
  <c r="E229" i="1"/>
  <c r="C229" i="1"/>
  <c r="M229" i="1"/>
  <c r="J229" i="1"/>
  <c r="L229" i="1"/>
  <c r="D229" i="1"/>
  <c r="N229" i="1"/>
  <c r="P229" i="1"/>
  <c r="F229" i="1"/>
  <c r="H229" i="1"/>
  <c r="B230" i="1" l="1"/>
  <c r="I230" i="1"/>
  <c r="A231" i="1"/>
  <c r="G230" i="1"/>
  <c r="O230" i="1"/>
  <c r="K230" i="1"/>
  <c r="E230" i="1"/>
  <c r="C230" i="1"/>
  <c r="M230" i="1"/>
  <c r="L230" i="1"/>
  <c r="D230" i="1"/>
  <c r="N230" i="1"/>
  <c r="F230" i="1"/>
  <c r="P230" i="1"/>
  <c r="H230" i="1"/>
  <c r="J230" i="1"/>
  <c r="B231" i="1" l="1"/>
  <c r="I231" i="1"/>
  <c r="A232" i="1"/>
  <c r="G231" i="1"/>
  <c r="O231" i="1"/>
  <c r="K231" i="1"/>
  <c r="E231" i="1"/>
  <c r="C231" i="1"/>
  <c r="M231" i="1"/>
  <c r="N231" i="1"/>
  <c r="F231" i="1"/>
  <c r="P231" i="1"/>
  <c r="H231" i="1"/>
  <c r="D231" i="1"/>
  <c r="J231" i="1"/>
  <c r="L231" i="1"/>
  <c r="A233" i="1" l="1"/>
  <c r="M232" i="1"/>
  <c r="I232" i="1"/>
  <c r="E232" i="1"/>
  <c r="H232" i="1"/>
  <c r="P232" i="1"/>
  <c r="K232" i="1"/>
  <c r="F232" i="1"/>
  <c r="N232" i="1"/>
  <c r="O232" i="1"/>
  <c r="L232" i="1"/>
  <c r="C232" i="1"/>
  <c r="J232" i="1"/>
  <c r="G232" i="1"/>
  <c r="D232" i="1"/>
  <c r="B232" i="1"/>
  <c r="A234" i="1" l="1"/>
  <c r="M233" i="1"/>
  <c r="E233" i="1"/>
  <c r="I233" i="1"/>
  <c r="H233" i="1"/>
  <c r="P233" i="1"/>
  <c r="K233" i="1"/>
  <c r="F233" i="1"/>
  <c r="N233" i="1"/>
  <c r="O233" i="1"/>
  <c r="L233" i="1"/>
  <c r="J233" i="1"/>
  <c r="D233" i="1"/>
  <c r="C233" i="1"/>
  <c r="B233" i="1"/>
  <c r="G233" i="1"/>
  <c r="A235" i="1" l="1"/>
  <c r="M234" i="1"/>
  <c r="I234" i="1"/>
  <c r="E234" i="1"/>
  <c r="H234" i="1"/>
  <c r="P234" i="1"/>
  <c r="K234" i="1"/>
  <c r="F234" i="1"/>
  <c r="N234" i="1"/>
  <c r="O234" i="1"/>
  <c r="L234" i="1"/>
  <c r="C234" i="1"/>
  <c r="J234" i="1"/>
  <c r="G234" i="1"/>
  <c r="D234" i="1"/>
  <c r="B234" i="1"/>
  <c r="A236" i="1" l="1"/>
  <c r="M235" i="1"/>
  <c r="E235" i="1"/>
  <c r="I235" i="1"/>
  <c r="H235" i="1"/>
  <c r="P235" i="1"/>
  <c r="K235" i="1"/>
  <c r="F235" i="1"/>
  <c r="N235" i="1"/>
  <c r="O235" i="1"/>
  <c r="L235" i="1"/>
  <c r="J235" i="1"/>
  <c r="D235" i="1"/>
  <c r="C235" i="1"/>
  <c r="B235" i="1"/>
  <c r="G235" i="1"/>
  <c r="A237" i="1" l="1"/>
  <c r="M236" i="1"/>
  <c r="I236" i="1"/>
  <c r="E236" i="1"/>
  <c r="H236" i="1"/>
  <c r="P236" i="1"/>
  <c r="K236" i="1"/>
  <c r="F236" i="1"/>
  <c r="N236" i="1"/>
  <c r="O236" i="1"/>
  <c r="L236" i="1"/>
  <c r="C236" i="1"/>
  <c r="J236" i="1"/>
  <c r="G236" i="1"/>
  <c r="D236" i="1"/>
  <c r="B236" i="1"/>
  <c r="A238" i="1" l="1"/>
  <c r="M237" i="1"/>
  <c r="E237" i="1"/>
  <c r="I237" i="1"/>
  <c r="H237" i="1"/>
  <c r="P237" i="1"/>
  <c r="K237" i="1"/>
  <c r="F237" i="1"/>
  <c r="N237" i="1"/>
  <c r="O237" i="1"/>
  <c r="L237" i="1"/>
  <c r="J237" i="1"/>
  <c r="D237" i="1"/>
  <c r="C237" i="1"/>
  <c r="B237" i="1"/>
  <c r="G237" i="1"/>
  <c r="A239" i="1" l="1"/>
  <c r="M238" i="1"/>
  <c r="I238" i="1"/>
  <c r="E238" i="1"/>
  <c r="H238" i="1"/>
  <c r="P238" i="1"/>
  <c r="K238" i="1"/>
  <c r="F238" i="1"/>
  <c r="N238" i="1"/>
  <c r="O238" i="1"/>
  <c r="L238" i="1"/>
  <c r="C238" i="1"/>
  <c r="J238" i="1"/>
  <c r="G238" i="1"/>
  <c r="D238" i="1"/>
  <c r="B238" i="1"/>
  <c r="A240" i="1" l="1"/>
  <c r="M239" i="1"/>
  <c r="E239" i="1"/>
  <c r="I239" i="1"/>
  <c r="H239" i="1"/>
  <c r="P239" i="1"/>
  <c r="K239" i="1"/>
  <c r="F239" i="1"/>
  <c r="N239" i="1"/>
  <c r="O239" i="1"/>
  <c r="L239" i="1"/>
  <c r="J239" i="1"/>
  <c r="D239" i="1"/>
  <c r="C239" i="1"/>
  <c r="B239" i="1"/>
  <c r="G239" i="1"/>
  <c r="A241" i="1" l="1"/>
  <c r="M240" i="1"/>
  <c r="I240" i="1"/>
  <c r="E240" i="1"/>
  <c r="H240" i="1"/>
  <c r="P240" i="1"/>
  <c r="K240" i="1"/>
  <c r="F240" i="1"/>
  <c r="N240" i="1"/>
  <c r="O240" i="1"/>
  <c r="L240" i="1"/>
  <c r="C240" i="1"/>
  <c r="J240" i="1"/>
  <c r="G240" i="1"/>
  <c r="D240" i="1"/>
  <c r="B240" i="1"/>
  <c r="A242" i="1" l="1"/>
  <c r="M241" i="1"/>
  <c r="E241" i="1"/>
  <c r="I241" i="1"/>
  <c r="H241" i="1"/>
  <c r="P241" i="1"/>
  <c r="K241" i="1"/>
  <c r="F241" i="1"/>
  <c r="N241" i="1"/>
  <c r="O241" i="1"/>
  <c r="L241" i="1"/>
  <c r="J241" i="1"/>
  <c r="D241" i="1"/>
  <c r="C241" i="1"/>
  <c r="B241" i="1"/>
  <c r="G241" i="1"/>
  <c r="A243" i="1" l="1"/>
  <c r="M242" i="1"/>
  <c r="I242" i="1"/>
  <c r="E242" i="1"/>
  <c r="H242" i="1"/>
  <c r="P242" i="1"/>
  <c r="K242" i="1"/>
  <c r="F242" i="1"/>
  <c r="N242" i="1"/>
  <c r="O242" i="1"/>
  <c r="L242" i="1"/>
  <c r="C242" i="1"/>
  <c r="J242" i="1"/>
  <c r="G242" i="1"/>
  <c r="D242" i="1"/>
  <c r="B242" i="1"/>
  <c r="A244" i="1" l="1"/>
  <c r="M243" i="1"/>
  <c r="E243" i="1"/>
  <c r="I243" i="1"/>
  <c r="H243" i="1"/>
  <c r="P243" i="1"/>
  <c r="K243" i="1"/>
  <c r="F243" i="1"/>
  <c r="N243" i="1"/>
  <c r="O243" i="1"/>
  <c r="L243" i="1"/>
  <c r="J243" i="1"/>
  <c r="D243" i="1"/>
  <c r="C243" i="1"/>
  <c r="B243" i="1"/>
  <c r="G243" i="1"/>
  <c r="B244" i="1" l="1"/>
  <c r="I244" i="1"/>
  <c r="A245" i="1"/>
  <c r="G244" i="1"/>
  <c r="O244" i="1"/>
  <c r="K244" i="1"/>
  <c r="E244" i="1"/>
  <c r="C244" i="1"/>
  <c r="M244" i="1"/>
  <c r="P244" i="1"/>
  <c r="H244" i="1"/>
  <c r="J244" i="1"/>
  <c r="D244" i="1"/>
  <c r="F244" i="1"/>
  <c r="L244" i="1"/>
  <c r="N244" i="1"/>
  <c r="B245" i="1" l="1"/>
  <c r="I245" i="1"/>
  <c r="A246" i="1"/>
  <c r="G245" i="1"/>
  <c r="O245" i="1"/>
  <c r="K245" i="1"/>
  <c r="E245" i="1"/>
  <c r="C245" i="1"/>
  <c r="M245" i="1"/>
  <c r="J245" i="1"/>
  <c r="L245" i="1"/>
  <c r="D245" i="1"/>
  <c r="F245" i="1"/>
  <c r="H245" i="1"/>
  <c r="N245" i="1"/>
  <c r="P245" i="1"/>
  <c r="B246" i="1" l="1"/>
  <c r="I246" i="1"/>
  <c r="A247" i="1"/>
  <c r="G246" i="1"/>
  <c r="O246" i="1"/>
  <c r="K246" i="1"/>
  <c r="E246" i="1"/>
  <c r="C246" i="1"/>
  <c r="M246" i="1"/>
  <c r="L246" i="1"/>
  <c r="D246" i="1"/>
  <c r="N246" i="1"/>
  <c r="F246" i="1"/>
  <c r="H246" i="1"/>
  <c r="J246" i="1"/>
  <c r="P246" i="1"/>
  <c r="B247" i="1" l="1"/>
  <c r="I247" i="1"/>
  <c r="A248" i="1"/>
  <c r="G247" i="1"/>
  <c r="O247" i="1"/>
  <c r="K247" i="1"/>
  <c r="E247" i="1"/>
  <c r="C247" i="1"/>
  <c r="M247" i="1"/>
  <c r="N247" i="1"/>
  <c r="F247" i="1"/>
  <c r="P247" i="1"/>
  <c r="H247" i="1"/>
  <c r="J247" i="1"/>
  <c r="L247" i="1"/>
  <c r="D247" i="1"/>
  <c r="B248" i="1" l="1"/>
  <c r="I248" i="1"/>
  <c r="A249" i="1"/>
  <c r="G248" i="1"/>
  <c r="O248" i="1"/>
  <c r="K248" i="1"/>
  <c r="E248" i="1"/>
  <c r="C248" i="1"/>
  <c r="M248" i="1"/>
  <c r="P248" i="1"/>
  <c r="H248" i="1"/>
  <c r="J248" i="1"/>
  <c r="L248" i="1"/>
  <c r="N248" i="1"/>
  <c r="D248" i="1"/>
  <c r="F248" i="1"/>
  <c r="B249" i="1" l="1"/>
  <c r="I249" i="1"/>
  <c r="A250" i="1"/>
  <c r="G249" i="1"/>
  <c r="O249" i="1"/>
  <c r="K249" i="1"/>
  <c r="E249" i="1"/>
  <c r="C249" i="1"/>
  <c r="M249" i="1"/>
  <c r="J249" i="1"/>
  <c r="L249" i="1"/>
  <c r="D249" i="1"/>
  <c r="N249" i="1"/>
  <c r="P249" i="1"/>
  <c r="F249" i="1"/>
  <c r="H249" i="1"/>
  <c r="B250" i="1" l="1"/>
  <c r="I250" i="1"/>
  <c r="A251" i="1"/>
  <c r="G250" i="1"/>
  <c r="O250" i="1"/>
  <c r="K250" i="1"/>
  <c r="E250" i="1"/>
  <c r="C250" i="1"/>
  <c r="M250" i="1"/>
  <c r="L250" i="1"/>
  <c r="D250" i="1"/>
  <c r="N250" i="1"/>
  <c r="F250" i="1"/>
  <c r="P250" i="1"/>
  <c r="H250" i="1"/>
  <c r="J250" i="1"/>
  <c r="B251" i="1" l="1"/>
  <c r="I251" i="1"/>
  <c r="A252" i="1"/>
  <c r="G251" i="1"/>
  <c r="O251" i="1"/>
  <c r="K251" i="1"/>
  <c r="E251" i="1"/>
  <c r="C251" i="1"/>
  <c r="M251" i="1"/>
  <c r="N251" i="1"/>
  <c r="F251" i="1"/>
  <c r="P251" i="1"/>
  <c r="H251" i="1"/>
  <c r="D251" i="1"/>
  <c r="J251" i="1"/>
  <c r="L251" i="1"/>
  <c r="B252" i="1" l="1"/>
  <c r="I252" i="1"/>
  <c r="A253" i="1"/>
  <c r="G252" i="1"/>
  <c r="O252" i="1"/>
  <c r="K252" i="1"/>
  <c r="E252" i="1"/>
  <c r="C252" i="1"/>
  <c r="M252" i="1"/>
  <c r="P252" i="1"/>
  <c r="H252" i="1"/>
  <c r="J252" i="1"/>
  <c r="D252" i="1"/>
  <c r="F252" i="1"/>
  <c r="L252" i="1"/>
  <c r="N252" i="1"/>
  <c r="B253" i="1" l="1"/>
  <c r="I253" i="1"/>
  <c r="A254" i="1"/>
  <c r="G253" i="1"/>
  <c r="O253" i="1"/>
  <c r="K253" i="1"/>
  <c r="E253" i="1"/>
  <c r="C253" i="1"/>
  <c r="M253" i="1"/>
  <c r="J253" i="1"/>
  <c r="L253" i="1"/>
  <c r="D253" i="1"/>
  <c r="F253" i="1"/>
  <c r="H253" i="1"/>
  <c r="N253" i="1"/>
  <c r="P253" i="1"/>
  <c r="B254" i="1" l="1"/>
  <c r="I254" i="1"/>
  <c r="A255" i="1"/>
  <c r="G254" i="1"/>
  <c r="O254" i="1"/>
  <c r="K254" i="1"/>
  <c r="E254" i="1"/>
  <c r="C254" i="1"/>
  <c r="M254" i="1"/>
  <c r="L254" i="1"/>
  <c r="D254" i="1"/>
  <c r="N254" i="1"/>
  <c r="F254" i="1"/>
  <c r="H254" i="1"/>
  <c r="J254" i="1"/>
  <c r="P254" i="1"/>
  <c r="B255" i="1" l="1"/>
  <c r="I255" i="1"/>
  <c r="A256" i="1"/>
  <c r="G255" i="1"/>
  <c r="O255" i="1"/>
  <c r="K255" i="1"/>
  <c r="E255" i="1"/>
  <c r="C255" i="1"/>
  <c r="M255" i="1"/>
  <c r="N255" i="1"/>
  <c r="F255" i="1"/>
  <c r="P255" i="1"/>
  <c r="H255" i="1"/>
  <c r="J255" i="1"/>
  <c r="L255" i="1"/>
  <c r="D255" i="1"/>
  <c r="B256" i="1" l="1"/>
  <c r="I256" i="1"/>
  <c r="A257" i="1"/>
  <c r="G256" i="1"/>
  <c r="O256" i="1"/>
  <c r="K256" i="1"/>
  <c r="E256" i="1"/>
  <c r="C256" i="1"/>
  <c r="M256" i="1"/>
  <c r="P256" i="1"/>
  <c r="H256" i="1"/>
  <c r="J256" i="1"/>
  <c r="L256" i="1"/>
  <c r="N256" i="1"/>
  <c r="D256" i="1"/>
  <c r="F256" i="1"/>
  <c r="B257" i="1" l="1"/>
  <c r="I257" i="1"/>
  <c r="A258" i="1"/>
  <c r="G257" i="1"/>
  <c r="O257" i="1"/>
  <c r="K257" i="1"/>
  <c r="E257" i="1"/>
  <c r="C257" i="1"/>
  <c r="M257" i="1"/>
  <c r="J257" i="1"/>
  <c r="L257" i="1"/>
  <c r="D257" i="1"/>
  <c r="N257" i="1"/>
  <c r="P257" i="1"/>
  <c r="F257" i="1"/>
  <c r="H257" i="1"/>
  <c r="B258" i="1" l="1"/>
  <c r="I258" i="1"/>
  <c r="A259" i="1"/>
  <c r="G258" i="1"/>
  <c r="O258" i="1"/>
  <c r="K258" i="1"/>
  <c r="E258" i="1"/>
  <c r="C258" i="1"/>
  <c r="M258" i="1"/>
  <c r="L258" i="1"/>
  <c r="D258" i="1"/>
  <c r="N258" i="1"/>
  <c r="F258" i="1"/>
  <c r="P258" i="1"/>
  <c r="H258" i="1"/>
  <c r="J258" i="1"/>
  <c r="B259" i="1" l="1"/>
  <c r="I259" i="1"/>
  <c r="A260" i="1"/>
  <c r="G259" i="1"/>
  <c r="O259" i="1"/>
  <c r="K259" i="1"/>
  <c r="E259" i="1"/>
  <c r="C259" i="1"/>
  <c r="M259" i="1"/>
  <c r="N259" i="1"/>
  <c r="F259" i="1"/>
  <c r="P259" i="1"/>
  <c r="H259" i="1"/>
  <c r="D259" i="1"/>
  <c r="J259" i="1"/>
  <c r="L259" i="1"/>
  <c r="B260" i="1" l="1"/>
  <c r="I260" i="1"/>
  <c r="A261" i="1"/>
  <c r="G260" i="1"/>
  <c r="O260" i="1"/>
  <c r="K260" i="1"/>
  <c r="E260" i="1"/>
  <c r="C260" i="1"/>
  <c r="M260" i="1"/>
  <c r="P260" i="1"/>
  <c r="H260" i="1"/>
  <c r="J260" i="1"/>
  <c r="D260" i="1"/>
  <c r="F260" i="1"/>
  <c r="L260" i="1"/>
  <c r="N260" i="1"/>
  <c r="B261" i="1" l="1"/>
  <c r="I261" i="1"/>
  <c r="G261" i="1"/>
  <c r="O261" i="1"/>
  <c r="K261" i="1"/>
  <c r="E261" i="1"/>
  <c r="A262" i="1"/>
  <c r="C261" i="1"/>
  <c r="M261" i="1"/>
  <c r="J261" i="1"/>
  <c r="L261" i="1"/>
  <c r="D261" i="1"/>
  <c r="F261" i="1"/>
  <c r="H261" i="1"/>
  <c r="N261" i="1"/>
  <c r="P261" i="1"/>
  <c r="B262" i="1" l="1"/>
  <c r="G262" i="1"/>
  <c r="O262" i="1"/>
  <c r="C262" i="1"/>
  <c r="K262" i="1"/>
  <c r="E262" i="1"/>
  <c r="M262" i="1"/>
  <c r="A263" i="1"/>
  <c r="I262" i="1"/>
  <c r="L262" i="1"/>
  <c r="D262" i="1"/>
  <c r="N262" i="1"/>
  <c r="F262" i="1"/>
  <c r="H262" i="1"/>
  <c r="J262" i="1"/>
  <c r="P262" i="1"/>
  <c r="B263" i="1" l="1"/>
  <c r="G263" i="1"/>
  <c r="O263" i="1"/>
  <c r="C263" i="1"/>
  <c r="K263" i="1"/>
  <c r="E263" i="1"/>
  <c r="M263" i="1"/>
  <c r="A264" i="1"/>
  <c r="I263" i="1"/>
  <c r="N263" i="1"/>
  <c r="F263" i="1"/>
  <c r="P263" i="1"/>
  <c r="H263" i="1"/>
  <c r="J263" i="1"/>
  <c r="L263" i="1"/>
  <c r="D263" i="1"/>
  <c r="B264" i="1" l="1"/>
  <c r="G264" i="1"/>
  <c r="O264" i="1"/>
  <c r="C264" i="1"/>
  <c r="K264" i="1"/>
  <c r="E264" i="1"/>
  <c r="M264" i="1"/>
  <c r="A265" i="1"/>
  <c r="I264" i="1"/>
  <c r="P264" i="1"/>
  <c r="H264" i="1"/>
  <c r="J264" i="1"/>
  <c r="L264" i="1"/>
  <c r="N264" i="1"/>
  <c r="D264" i="1"/>
  <c r="F264" i="1"/>
  <c r="B265" i="1" l="1"/>
  <c r="G265" i="1"/>
  <c r="O265" i="1"/>
  <c r="C265" i="1"/>
  <c r="K265" i="1"/>
  <c r="E265" i="1"/>
  <c r="M265" i="1"/>
  <c r="A266" i="1"/>
  <c r="I265" i="1"/>
  <c r="J265" i="1"/>
  <c r="L265" i="1"/>
  <c r="D265" i="1"/>
  <c r="N265" i="1"/>
  <c r="P265" i="1"/>
  <c r="F265" i="1"/>
  <c r="H265" i="1"/>
  <c r="B266" i="1" l="1"/>
  <c r="G266" i="1"/>
  <c r="O266" i="1"/>
  <c r="C266" i="1"/>
  <c r="K266" i="1"/>
  <c r="E266" i="1"/>
  <c r="M266" i="1"/>
  <c r="A267" i="1"/>
  <c r="I266" i="1"/>
  <c r="L266" i="1"/>
  <c r="D266" i="1"/>
  <c r="N266" i="1"/>
  <c r="F266" i="1"/>
  <c r="P266" i="1"/>
  <c r="H266" i="1"/>
  <c r="J266" i="1"/>
  <c r="B267" i="1" l="1"/>
  <c r="G267" i="1"/>
  <c r="O267" i="1"/>
  <c r="C267" i="1"/>
  <c r="K267" i="1"/>
  <c r="E267" i="1"/>
  <c r="M267" i="1"/>
  <c r="A268" i="1"/>
  <c r="I267" i="1"/>
  <c r="N267" i="1"/>
  <c r="F267" i="1"/>
  <c r="P267" i="1"/>
  <c r="H267" i="1"/>
  <c r="J267" i="1"/>
  <c r="L267" i="1"/>
  <c r="D267" i="1"/>
  <c r="B268" i="1" l="1"/>
  <c r="G268" i="1"/>
  <c r="O268" i="1"/>
  <c r="C268" i="1"/>
  <c r="K268" i="1"/>
  <c r="E268" i="1"/>
  <c r="M268" i="1"/>
  <c r="A269" i="1"/>
  <c r="I268" i="1"/>
  <c r="P268" i="1"/>
  <c r="H268" i="1"/>
  <c r="J268" i="1"/>
  <c r="L268" i="1"/>
  <c r="D268" i="1"/>
  <c r="F268" i="1"/>
  <c r="N268" i="1"/>
  <c r="B269" i="1" l="1"/>
  <c r="G269" i="1"/>
  <c r="O269" i="1"/>
  <c r="C269" i="1"/>
  <c r="K269" i="1"/>
  <c r="E269" i="1"/>
  <c r="M269" i="1"/>
  <c r="A270" i="1"/>
  <c r="I269" i="1"/>
  <c r="J269" i="1"/>
  <c r="L269" i="1"/>
  <c r="D269" i="1"/>
  <c r="N269" i="1"/>
  <c r="F269" i="1"/>
  <c r="P269" i="1"/>
  <c r="H269" i="1"/>
  <c r="B270" i="1" l="1"/>
  <c r="I270" i="1"/>
  <c r="A271" i="1"/>
  <c r="E270" i="1"/>
  <c r="M270" i="1"/>
  <c r="G270" i="1"/>
  <c r="O270" i="1"/>
  <c r="K270" i="1"/>
  <c r="L270" i="1"/>
  <c r="D270" i="1"/>
  <c r="N270" i="1"/>
  <c r="F270" i="1"/>
  <c r="P270" i="1"/>
  <c r="H270" i="1"/>
  <c r="C270" i="1"/>
  <c r="J270" i="1"/>
  <c r="B271" i="1" l="1"/>
  <c r="I271" i="1"/>
  <c r="A272" i="1"/>
  <c r="E271" i="1"/>
  <c r="M271" i="1"/>
  <c r="G271" i="1"/>
  <c r="O271" i="1"/>
  <c r="C271" i="1"/>
  <c r="K271" i="1"/>
  <c r="N271" i="1"/>
  <c r="F271" i="1"/>
  <c r="P271" i="1"/>
  <c r="H271" i="1"/>
  <c r="J271" i="1"/>
  <c r="D271" i="1"/>
  <c r="L271" i="1"/>
  <c r="B272" i="1" l="1"/>
  <c r="K272" i="1"/>
  <c r="G272" i="1"/>
  <c r="O272" i="1"/>
  <c r="I272" i="1"/>
  <c r="A273" i="1"/>
  <c r="M272" i="1"/>
  <c r="E272" i="1"/>
  <c r="C272" i="1"/>
  <c r="P272" i="1"/>
  <c r="H272" i="1"/>
  <c r="J272" i="1"/>
  <c r="L272" i="1"/>
  <c r="D272" i="1"/>
  <c r="F272" i="1"/>
  <c r="N272" i="1"/>
  <c r="B273" i="1" l="1"/>
  <c r="C273" i="1"/>
  <c r="K273" i="1"/>
  <c r="G273" i="1"/>
  <c r="O273" i="1"/>
  <c r="I273" i="1"/>
  <c r="A274" i="1"/>
  <c r="E273" i="1"/>
  <c r="M273" i="1"/>
  <c r="J273" i="1"/>
  <c r="L273" i="1"/>
  <c r="D273" i="1"/>
  <c r="N273" i="1"/>
  <c r="F273" i="1"/>
  <c r="H273" i="1"/>
  <c r="P273" i="1"/>
  <c r="B274" i="1" l="1"/>
  <c r="C274" i="1"/>
  <c r="K274" i="1"/>
  <c r="G274" i="1"/>
  <c r="O274" i="1"/>
  <c r="I274" i="1"/>
  <c r="A275" i="1"/>
  <c r="M274" i="1"/>
  <c r="E274" i="1"/>
  <c r="L274" i="1"/>
  <c r="D274" i="1"/>
  <c r="N274" i="1"/>
  <c r="F274" i="1"/>
  <c r="P274" i="1"/>
  <c r="H274" i="1"/>
  <c r="J274" i="1"/>
  <c r="B275" i="1" l="1"/>
  <c r="C275" i="1"/>
  <c r="K275" i="1"/>
  <c r="G275" i="1"/>
  <c r="O275" i="1"/>
  <c r="I275" i="1"/>
  <c r="A276" i="1"/>
  <c r="E275" i="1"/>
  <c r="M275" i="1"/>
  <c r="N275" i="1"/>
  <c r="F275" i="1"/>
  <c r="P275" i="1"/>
  <c r="H275" i="1"/>
  <c r="J275" i="1"/>
  <c r="D275" i="1"/>
  <c r="L275" i="1"/>
  <c r="B276" i="1" l="1"/>
  <c r="C276" i="1"/>
  <c r="K276" i="1"/>
  <c r="G276" i="1"/>
  <c r="O276" i="1"/>
  <c r="I276" i="1"/>
  <c r="A277" i="1"/>
  <c r="M276" i="1"/>
  <c r="E276" i="1"/>
  <c r="P276" i="1"/>
  <c r="H276" i="1"/>
  <c r="J276" i="1"/>
  <c r="L276" i="1"/>
  <c r="D276" i="1"/>
  <c r="N276" i="1"/>
  <c r="F276" i="1"/>
  <c r="B277" i="1" l="1"/>
  <c r="C277" i="1"/>
  <c r="K277" i="1"/>
  <c r="I277" i="1"/>
  <c r="A278" i="1"/>
  <c r="E277" i="1"/>
  <c r="O277" i="1"/>
  <c r="M277" i="1"/>
  <c r="G277" i="1"/>
  <c r="J277" i="1"/>
  <c r="L277" i="1"/>
  <c r="D277" i="1"/>
  <c r="N277" i="1"/>
  <c r="F277" i="1"/>
  <c r="H277" i="1"/>
  <c r="P277" i="1"/>
  <c r="B278" i="1" l="1"/>
  <c r="C278" i="1"/>
  <c r="K278" i="1"/>
  <c r="I278" i="1"/>
  <c r="A279" i="1"/>
  <c r="E278" i="1"/>
  <c r="O278" i="1"/>
  <c r="M278" i="1"/>
  <c r="G278" i="1"/>
  <c r="L278" i="1"/>
  <c r="D278" i="1"/>
  <c r="N278" i="1"/>
  <c r="F278" i="1"/>
  <c r="P278" i="1"/>
  <c r="H278" i="1"/>
  <c r="J278" i="1"/>
  <c r="B279" i="1" l="1"/>
  <c r="C279" i="1"/>
  <c r="K279" i="1"/>
  <c r="I279" i="1"/>
  <c r="A280" i="1"/>
  <c r="E279" i="1"/>
  <c r="O279" i="1"/>
  <c r="M279" i="1"/>
  <c r="G279" i="1"/>
  <c r="N279" i="1"/>
  <c r="F279" i="1"/>
  <c r="P279" i="1"/>
  <c r="H279" i="1"/>
  <c r="J279" i="1"/>
  <c r="D279" i="1"/>
  <c r="L279" i="1"/>
  <c r="C280" i="1" l="1"/>
  <c r="E280" i="1"/>
  <c r="A281" i="1"/>
  <c r="I280" i="1"/>
  <c r="M280" i="1"/>
  <c r="G280" i="1"/>
  <c r="D280" i="1"/>
  <c r="L280" i="1"/>
  <c r="K280" i="1"/>
  <c r="B280" i="1"/>
  <c r="J280" i="1"/>
  <c r="O280" i="1"/>
  <c r="H280" i="1"/>
  <c r="P280" i="1"/>
  <c r="N280" i="1"/>
  <c r="F280" i="1"/>
  <c r="C281" i="1" l="1"/>
  <c r="E281" i="1"/>
  <c r="A282" i="1"/>
  <c r="M281" i="1"/>
  <c r="I281" i="1"/>
  <c r="K281" i="1"/>
  <c r="D281" i="1"/>
  <c r="L281" i="1"/>
  <c r="O281" i="1"/>
  <c r="B281" i="1"/>
  <c r="J281" i="1"/>
  <c r="H281" i="1"/>
  <c r="P281" i="1"/>
  <c r="N281" i="1"/>
  <c r="F281" i="1"/>
  <c r="G281" i="1"/>
  <c r="C282" i="1" l="1"/>
  <c r="E282" i="1"/>
  <c r="A283" i="1"/>
  <c r="I282" i="1"/>
  <c r="M282" i="1"/>
  <c r="O282" i="1"/>
  <c r="D282" i="1"/>
  <c r="L282" i="1"/>
  <c r="B282" i="1"/>
  <c r="J282" i="1"/>
  <c r="G282" i="1"/>
  <c r="H282" i="1"/>
  <c r="P282" i="1"/>
  <c r="N282" i="1"/>
  <c r="K282" i="1"/>
  <c r="F282" i="1"/>
  <c r="C283" i="1" l="1"/>
  <c r="E283" i="1"/>
  <c r="A284" i="1"/>
  <c r="M283" i="1"/>
  <c r="I283" i="1"/>
  <c r="D283" i="1"/>
  <c r="L283" i="1"/>
  <c r="G283" i="1"/>
  <c r="B283" i="1"/>
  <c r="J283" i="1"/>
  <c r="K283" i="1"/>
  <c r="H283" i="1"/>
  <c r="P283" i="1"/>
  <c r="O283" i="1"/>
  <c r="N283" i="1"/>
  <c r="F283" i="1"/>
  <c r="C284" i="1" l="1"/>
  <c r="E284" i="1"/>
  <c r="A285" i="1"/>
  <c r="I284" i="1"/>
  <c r="M284" i="1"/>
  <c r="G284" i="1"/>
  <c r="D284" i="1"/>
  <c r="L284" i="1"/>
  <c r="K284" i="1"/>
  <c r="B284" i="1"/>
  <c r="J284" i="1"/>
  <c r="O284" i="1"/>
  <c r="H284" i="1"/>
  <c r="P284" i="1"/>
  <c r="N284" i="1"/>
  <c r="F284" i="1"/>
  <c r="C285" i="1" l="1"/>
  <c r="E285" i="1"/>
  <c r="A286" i="1"/>
  <c r="M285" i="1"/>
  <c r="I285" i="1"/>
  <c r="K285" i="1"/>
  <c r="D285" i="1"/>
  <c r="L285" i="1"/>
  <c r="O285" i="1"/>
  <c r="B285" i="1"/>
  <c r="J285" i="1"/>
  <c r="H285" i="1"/>
  <c r="P285" i="1"/>
  <c r="N285" i="1"/>
  <c r="G285" i="1"/>
  <c r="F285" i="1"/>
  <c r="C286" i="1" l="1"/>
  <c r="E286" i="1"/>
  <c r="A287" i="1"/>
  <c r="I286" i="1"/>
  <c r="M286" i="1"/>
  <c r="O286" i="1"/>
  <c r="D286" i="1"/>
  <c r="L286" i="1"/>
  <c r="B286" i="1"/>
  <c r="J286" i="1"/>
  <c r="G286" i="1"/>
  <c r="H286" i="1"/>
  <c r="P286" i="1"/>
  <c r="K286" i="1"/>
  <c r="N286" i="1"/>
  <c r="F286" i="1"/>
  <c r="C287" i="1" l="1"/>
  <c r="E287" i="1"/>
  <c r="A288" i="1"/>
  <c r="O287" i="1"/>
  <c r="M287" i="1"/>
  <c r="I287" i="1"/>
  <c r="P287" i="1"/>
  <c r="H287" i="1"/>
  <c r="G287" i="1"/>
  <c r="F287" i="1"/>
  <c r="K287" i="1"/>
  <c r="D287" i="1"/>
  <c r="L287" i="1"/>
  <c r="J287" i="1"/>
  <c r="B287" i="1"/>
  <c r="N287" i="1"/>
  <c r="B288" i="1" l="1"/>
  <c r="M288" i="1"/>
  <c r="K288" i="1"/>
  <c r="E288" i="1"/>
  <c r="A289" i="1"/>
  <c r="O288" i="1"/>
  <c r="I288" i="1"/>
  <c r="C288" i="1"/>
  <c r="J288" i="1"/>
  <c r="G288" i="1"/>
  <c r="L288" i="1"/>
  <c r="D288" i="1"/>
  <c r="N288" i="1"/>
  <c r="F288" i="1"/>
  <c r="H288" i="1"/>
  <c r="P288" i="1"/>
  <c r="B289" i="1" l="1"/>
  <c r="E289" i="1"/>
  <c r="M289" i="1"/>
  <c r="C289" i="1"/>
  <c r="K289" i="1"/>
  <c r="G289" i="1"/>
  <c r="A290" i="1"/>
  <c r="O289" i="1"/>
  <c r="I289" i="1"/>
  <c r="L289" i="1"/>
  <c r="D289" i="1"/>
  <c r="N289" i="1"/>
  <c r="F289" i="1"/>
  <c r="P289" i="1"/>
  <c r="H289" i="1"/>
  <c r="J289" i="1"/>
  <c r="B290" i="1" l="1"/>
  <c r="E290" i="1"/>
  <c r="M290" i="1"/>
  <c r="C290" i="1"/>
  <c r="K290" i="1"/>
  <c r="G290" i="1"/>
  <c r="A291" i="1"/>
  <c r="O290" i="1"/>
  <c r="I290" i="1"/>
  <c r="N290" i="1"/>
  <c r="F290" i="1"/>
  <c r="P290" i="1"/>
  <c r="H290" i="1"/>
  <c r="J290" i="1"/>
  <c r="L290" i="1"/>
  <c r="D290" i="1"/>
  <c r="B291" i="1" l="1"/>
  <c r="E291" i="1"/>
  <c r="M291" i="1"/>
  <c r="C291" i="1"/>
  <c r="K291" i="1"/>
  <c r="G291" i="1"/>
  <c r="A292" i="1"/>
  <c r="O291" i="1"/>
  <c r="I291" i="1"/>
  <c r="P291" i="1"/>
  <c r="H291" i="1"/>
  <c r="J291" i="1"/>
  <c r="L291" i="1"/>
  <c r="D291" i="1"/>
  <c r="F291" i="1"/>
  <c r="N291" i="1"/>
  <c r="B292" i="1" l="1"/>
  <c r="E292" i="1"/>
  <c r="M292" i="1"/>
  <c r="C292" i="1"/>
  <c r="K292" i="1"/>
  <c r="G292" i="1"/>
  <c r="A293" i="1"/>
  <c r="O292" i="1"/>
  <c r="I292" i="1"/>
  <c r="J292" i="1"/>
  <c r="L292" i="1"/>
  <c r="D292" i="1"/>
  <c r="N292" i="1"/>
  <c r="F292" i="1"/>
  <c r="P292" i="1"/>
  <c r="H292" i="1"/>
  <c r="B293" i="1" l="1"/>
  <c r="E293" i="1"/>
  <c r="M293" i="1"/>
  <c r="C293" i="1"/>
  <c r="K293" i="1"/>
  <c r="G293" i="1"/>
  <c r="A294" i="1"/>
  <c r="O293" i="1"/>
  <c r="I293" i="1"/>
  <c r="L293" i="1"/>
  <c r="D293" i="1"/>
  <c r="N293" i="1"/>
  <c r="F293" i="1"/>
  <c r="P293" i="1"/>
  <c r="H293" i="1"/>
  <c r="J293" i="1"/>
  <c r="B294" i="1" l="1"/>
  <c r="E294" i="1"/>
  <c r="M294" i="1"/>
  <c r="C294" i="1"/>
  <c r="K294" i="1"/>
  <c r="G294" i="1"/>
  <c r="A295" i="1"/>
  <c r="O294" i="1"/>
  <c r="I294" i="1"/>
  <c r="N294" i="1"/>
  <c r="F294" i="1"/>
  <c r="P294" i="1"/>
  <c r="H294" i="1"/>
  <c r="J294" i="1"/>
  <c r="D294" i="1"/>
  <c r="L294" i="1"/>
  <c r="B295" i="1" l="1"/>
  <c r="E295" i="1"/>
  <c r="M295" i="1"/>
  <c r="C295" i="1"/>
  <c r="K295" i="1"/>
  <c r="G295" i="1"/>
  <c r="A296" i="1"/>
  <c r="O295" i="1"/>
  <c r="I295" i="1"/>
  <c r="P295" i="1"/>
  <c r="H295" i="1"/>
  <c r="J295" i="1"/>
  <c r="L295" i="1"/>
  <c r="D295" i="1"/>
  <c r="F295" i="1"/>
  <c r="N295" i="1"/>
  <c r="B296" i="1" l="1"/>
  <c r="E296" i="1"/>
  <c r="M296" i="1"/>
  <c r="C296" i="1"/>
  <c r="K296" i="1"/>
  <c r="G296" i="1"/>
  <c r="A297" i="1"/>
  <c r="O296" i="1"/>
  <c r="I296" i="1"/>
  <c r="J296" i="1"/>
  <c r="L296" i="1"/>
  <c r="D296" i="1"/>
  <c r="N296" i="1"/>
  <c r="F296" i="1"/>
  <c r="H296" i="1"/>
  <c r="P296" i="1"/>
  <c r="B297" i="1" l="1"/>
  <c r="E297" i="1"/>
  <c r="M297" i="1"/>
  <c r="C297" i="1"/>
  <c r="K297" i="1"/>
  <c r="G297" i="1"/>
  <c r="A298" i="1"/>
  <c r="O297" i="1"/>
  <c r="I297" i="1"/>
  <c r="L297" i="1"/>
  <c r="D297" i="1"/>
  <c r="N297" i="1"/>
  <c r="F297" i="1"/>
  <c r="P297" i="1"/>
  <c r="H297" i="1"/>
  <c r="J297" i="1"/>
  <c r="B298" i="1" l="1"/>
  <c r="E298" i="1"/>
  <c r="M298" i="1"/>
  <c r="C298" i="1"/>
  <c r="K298" i="1"/>
  <c r="G298" i="1"/>
  <c r="A299" i="1"/>
  <c r="O298" i="1"/>
  <c r="I298" i="1"/>
  <c r="N298" i="1"/>
  <c r="F298" i="1"/>
  <c r="P298" i="1"/>
  <c r="H298" i="1"/>
  <c r="J298" i="1"/>
  <c r="D298" i="1"/>
  <c r="L298" i="1"/>
  <c r="B299" i="1" l="1"/>
  <c r="E299" i="1"/>
  <c r="M299" i="1"/>
  <c r="C299" i="1"/>
  <c r="K299" i="1"/>
  <c r="G299" i="1"/>
  <c r="A300" i="1"/>
  <c r="O299" i="1"/>
  <c r="I299" i="1"/>
  <c r="P299" i="1"/>
  <c r="H299" i="1"/>
  <c r="J299" i="1"/>
  <c r="L299" i="1"/>
  <c r="D299" i="1"/>
  <c r="N299" i="1"/>
  <c r="F299" i="1"/>
  <c r="B300" i="1" l="1"/>
  <c r="E300" i="1"/>
  <c r="M300" i="1"/>
  <c r="C300" i="1"/>
  <c r="K300" i="1"/>
  <c r="G300" i="1"/>
  <c r="A301" i="1"/>
  <c r="O300" i="1"/>
  <c r="I300" i="1"/>
  <c r="J300" i="1"/>
  <c r="L300" i="1"/>
  <c r="D300" i="1"/>
  <c r="N300" i="1"/>
  <c r="F300" i="1"/>
  <c r="H300" i="1"/>
  <c r="P300" i="1"/>
  <c r="C301" i="1" l="1"/>
  <c r="I301" i="1"/>
  <c r="E301" i="1"/>
  <c r="M301" i="1"/>
  <c r="A302" i="1"/>
  <c r="G301" i="1"/>
  <c r="H301" i="1"/>
  <c r="P301" i="1"/>
  <c r="K301" i="1"/>
  <c r="F301" i="1"/>
  <c r="N301" i="1"/>
  <c r="O301" i="1"/>
  <c r="D301" i="1"/>
  <c r="L301" i="1"/>
  <c r="B301" i="1"/>
  <c r="J301" i="1"/>
  <c r="C302" i="1" l="1"/>
  <c r="I302" i="1"/>
  <c r="E302" i="1"/>
  <c r="A303" i="1"/>
  <c r="M302" i="1"/>
  <c r="K302" i="1"/>
  <c r="H302" i="1"/>
  <c r="P302" i="1"/>
  <c r="O302" i="1"/>
  <c r="F302" i="1"/>
  <c r="N302" i="1"/>
  <c r="D302" i="1"/>
  <c r="L302" i="1"/>
  <c r="J302" i="1"/>
  <c r="G302" i="1"/>
  <c r="B302" i="1"/>
  <c r="C303" i="1" l="1"/>
  <c r="I303" i="1"/>
  <c r="E303" i="1"/>
  <c r="M303" i="1"/>
  <c r="A304" i="1"/>
  <c r="O303" i="1"/>
  <c r="H303" i="1"/>
  <c r="P303" i="1"/>
  <c r="F303" i="1"/>
  <c r="N303" i="1"/>
  <c r="G303" i="1"/>
  <c r="D303" i="1"/>
  <c r="L303" i="1"/>
  <c r="B303" i="1"/>
  <c r="K303" i="1"/>
  <c r="J303" i="1"/>
  <c r="C304" i="1" l="1"/>
  <c r="I304" i="1"/>
  <c r="E304" i="1"/>
  <c r="A305" i="1"/>
  <c r="M304" i="1"/>
  <c r="H304" i="1"/>
  <c r="P304" i="1"/>
  <c r="G304" i="1"/>
  <c r="F304" i="1"/>
  <c r="N304" i="1"/>
  <c r="K304" i="1"/>
  <c r="D304" i="1"/>
  <c r="L304" i="1"/>
  <c r="O304" i="1"/>
  <c r="J304" i="1"/>
  <c r="B304" i="1"/>
  <c r="C305" i="1" l="1"/>
  <c r="I305" i="1"/>
  <c r="E305" i="1"/>
  <c r="M305" i="1"/>
  <c r="A306" i="1"/>
  <c r="G305" i="1"/>
  <c r="H305" i="1"/>
  <c r="P305" i="1"/>
  <c r="K305" i="1"/>
  <c r="F305" i="1"/>
  <c r="N305" i="1"/>
  <c r="O305" i="1"/>
  <c r="D305" i="1"/>
  <c r="L305" i="1"/>
  <c r="B305" i="1"/>
  <c r="J305" i="1"/>
  <c r="C306" i="1" l="1"/>
  <c r="I306" i="1"/>
  <c r="E306" i="1"/>
  <c r="A307" i="1"/>
  <c r="M306" i="1"/>
  <c r="K306" i="1"/>
  <c r="H306" i="1"/>
  <c r="P306" i="1"/>
  <c r="O306" i="1"/>
  <c r="F306" i="1"/>
  <c r="N306" i="1"/>
  <c r="D306" i="1"/>
  <c r="L306" i="1"/>
  <c r="G306" i="1"/>
  <c r="J306" i="1"/>
  <c r="B306" i="1"/>
  <c r="C307" i="1" l="1"/>
  <c r="I307" i="1"/>
  <c r="E307" i="1"/>
  <c r="M307" i="1"/>
  <c r="A308" i="1"/>
  <c r="O307" i="1"/>
  <c r="H307" i="1"/>
  <c r="P307" i="1"/>
  <c r="F307" i="1"/>
  <c r="N307" i="1"/>
  <c r="G307" i="1"/>
  <c r="D307" i="1"/>
  <c r="L307" i="1"/>
  <c r="B307" i="1"/>
  <c r="K307" i="1"/>
  <c r="J307" i="1"/>
  <c r="C308" i="1" l="1"/>
  <c r="K308" i="1"/>
  <c r="I308" i="1"/>
  <c r="A309" i="1"/>
  <c r="O308" i="1"/>
  <c r="M308" i="1"/>
  <c r="N308" i="1"/>
  <c r="H308" i="1"/>
  <c r="P308" i="1"/>
  <c r="G308" i="1"/>
  <c r="F308" i="1"/>
  <c r="E308" i="1"/>
  <c r="J308" i="1"/>
  <c r="D308" i="1"/>
  <c r="B308" i="1"/>
  <c r="L308" i="1"/>
  <c r="B309" i="1" l="1"/>
  <c r="E309" i="1"/>
  <c r="M309" i="1"/>
  <c r="K309" i="1"/>
  <c r="G309" i="1"/>
  <c r="A310" i="1"/>
  <c r="O309" i="1"/>
  <c r="I309" i="1"/>
  <c r="P309" i="1"/>
  <c r="H309" i="1"/>
  <c r="C309" i="1"/>
  <c r="J309" i="1"/>
  <c r="L309" i="1"/>
  <c r="D309" i="1"/>
  <c r="F309" i="1"/>
  <c r="N309" i="1"/>
  <c r="B310" i="1" l="1"/>
  <c r="E310" i="1"/>
  <c r="M310" i="1"/>
  <c r="C310" i="1"/>
  <c r="K310" i="1"/>
  <c r="G310" i="1"/>
  <c r="A311" i="1"/>
  <c r="O310" i="1"/>
  <c r="I310" i="1"/>
  <c r="J310" i="1"/>
  <c r="L310" i="1"/>
  <c r="D310" i="1"/>
  <c r="N310" i="1"/>
  <c r="F310" i="1"/>
  <c r="H310" i="1"/>
  <c r="P310" i="1"/>
  <c r="B311" i="1" l="1"/>
  <c r="I311" i="1"/>
  <c r="E311" i="1"/>
  <c r="O311" i="1"/>
  <c r="K311" i="1"/>
  <c r="M311" i="1"/>
  <c r="L311" i="1"/>
  <c r="D311" i="1"/>
  <c r="N311" i="1"/>
  <c r="F311" i="1"/>
  <c r="C311" i="1"/>
  <c r="P311" i="1"/>
  <c r="H311" i="1"/>
  <c r="J311" i="1"/>
  <c r="G311" i="1"/>
</calcChain>
</file>

<file path=xl/comments1.xml><?xml version="1.0" encoding="utf-8"?>
<comments xmlns="http://schemas.openxmlformats.org/spreadsheetml/2006/main">
  <authors>
    <author>Jonathan</author>
    <author>Susanne Brooks</author>
  </authors>
  <commentList>
    <comment ref="E15" authorId="0" shapeId="0">
      <text>
        <r>
          <rPr>
            <sz val="9"/>
            <color indexed="81"/>
            <rFont val="Tahoma"/>
            <family val="2"/>
          </rPr>
          <t xml:space="preserve">EIA Annual Energy Outlook 2012 Early Release. Refer to the "Baseline 2010 Data" tab for more details.
</t>
        </r>
      </text>
    </comment>
    <comment ref="H16" authorId="1" shapeId="0">
      <text>
        <r>
          <rPr>
            <sz val="8"/>
            <color indexed="81"/>
            <rFont val="Tahoma"/>
            <family val="2"/>
          </rPr>
          <t>Model assumes baseline efficiencies of 10,415 Btu/kWh for coal and 8,185 Btu/kWh for natural gas (average fleet heat rates in 2010) -- EIA ELECTRIC POWER ANNUAL 2010</t>
        </r>
      </text>
    </comment>
  </commentList>
</comments>
</file>

<file path=xl/comments2.xml><?xml version="1.0" encoding="utf-8"?>
<comments xmlns="http://schemas.openxmlformats.org/spreadsheetml/2006/main">
  <authors>
    <author>Jonathan</author>
  </authors>
  <commentList>
    <comment ref="B55" authorId="0" shapeId="0">
      <text>
        <r>
          <rPr>
            <sz val="9"/>
            <color indexed="81"/>
            <rFont val="Tahoma"/>
            <family val="2"/>
          </rPr>
          <t xml:space="preserve">Reference NG leak rate is 2.1%, readjusted from a methane leak rate of 1.906%.
</t>
        </r>
      </text>
    </comment>
  </commentList>
</comments>
</file>

<file path=xl/comments3.xml><?xml version="1.0" encoding="utf-8"?>
<comments xmlns="http://schemas.openxmlformats.org/spreadsheetml/2006/main">
  <authors>
    <author>Susanne Brooks</author>
    <author>Jonathan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>DRAFT EPA GHG INVENTORY 1990-2010</t>
        </r>
      </text>
    </comment>
    <comment ref="F4" authorId="0" shapeId="0">
      <text>
        <r>
          <rPr>
            <sz val="8"/>
            <color indexed="81"/>
            <rFont val="Tahoma"/>
            <family val="2"/>
          </rPr>
          <t>EIA AEO2012
Early Release</t>
        </r>
      </text>
    </comment>
    <comment ref="H4" authorId="0" shapeId="0">
      <text>
        <r>
          <rPr>
            <sz val="8"/>
            <color indexed="81"/>
            <rFont val="Tahoma"/>
            <family val="2"/>
          </rPr>
          <t>EIA AEO2012 Early Release</t>
        </r>
      </text>
    </comment>
    <comment ref="K5" authorId="0" shapeId="0">
      <text>
        <r>
          <rPr>
            <sz val="8"/>
            <color indexed="81"/>
            <rFont val="Tahoma"/>
            <family val="2"/>
          </rPr>
          <t xml:space="preserve">EIA Natural Gas Annual
http://www.eia.gov/naturalgas/data.cfm
</t>
        </r>
      </text>
    </comment>
    <comment ref="B6" authorId="0" shapeId="0">
      <text>
        <r>
          <rPr>
            <sz val="8"/>
            <color indexed="81"/>
            <rFont val="Tahoma"/>
            <family val="2"/>
          </rPr>
          <t>EPA GHG Inventory Table ES-7</t>
        </r>
      </text>
    </comment>
    <comment ref="B8" authorId="0" shapeId="0">
      <text>
        <r>
          <rPr>
            <sz val="8"/>
            <color indexed="81"/>
            <rFont val="Tahoma"/>
            <family val="2"/>
          </rPr>
          <t>EPA GHG Inventory Table 2-15</t>
        </r>
      </text>
    </comment>
    <comment ref="B9" authorId="0" shapeId="0">
      <text>
        <r>
          <rPr>
            <sz val="8"/>
            <color indexed="81"/>
            <rFont val="Tahoma"/>
            <family val="2"/>
          </rPr>
          <t>EPA GHG Inventory Table 2-15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>EPA GHG Inventory Table 2-15</t>
        </r>
      </text>
    </comment>
    <comment ref="B14" authorId="0" shapeId="0">
      <text>
        <r>
          <rPr>
            <sz val="8"/>
            <color indexed="81"/>
            <rFont val="Tahoma"/>
            <family val="2"/>
          </rPr>
          <t>EPA GHG Inventory Table ES-7</t>
        </r>
      </text>
    </comment>
    <comment ref="B17" authorId="1" shapeId="0">
      <text>
        <r>
          <rPr>
            <sz val="9"/>
            <color indexed="81"/>
            <rFont val="Tahoma"/>
            <family val="2"/>
          </rPr>
          <t xml:space="preserve">Adjusted from EPA inventory number of 225.7 MMtCO2e depending on the user-defined baseline leak rate from well to pump.
</t>
        </r>
      </text>
    </comment>
  </commentList>
</comments>
</file>

<file path=xl/sharedStrings.xml><?xml version="1.0" encoding="utf-8"?>
<sst xmlns="http://schemas.openxmlformats.org/spreadsheetml/2006/main" count="615" uniqueCount="407">
  <si>
    <t>Time (yrs)</t>
  </si>
  <si>
    <t>(a0*t^2)/2</t>
  </si>
  <si>
    <t>TRFM/RE for PTWP</t>
  </si>
  <si>
    <t>t*taum -taum^2(1-exp(-t/taum))</t>
  </si>
  <si>
    <t>a1(t*tau1 -tau1^2(1-exp(-t/tau1))</t>
  </si>
  <si>
    <t>a2(t*tau2 -tau2^2(1-exp(-t/tau2))</t>
  </si>
  <si>
    <t>a3(t*tau3 -tau3^2(1-exp(-t/tau3))</t>
  </si>
  <si>
    <t>taum(1-exp(-t/taum))</t>
  </si>
  <si>
    <t>a0*t</t>
  </si>
  <si>
    <t>a1*tau1(1-exp(-t/tau1)</t>
  </si>
  <si>
    <t>a2*tau2(1-exp(-t/tau2)</t>
  </si>
  <si>
    <t>a3*tau3(1-exp(-t/tau3)</t>
  </si>
  <si>
    <t>4 TRFC terms for PTWP</t>
  </si>
  <si>
    <t xml:space="preserve">TRFM for SLTWP/RE </t>
  </si>
  <si>
    <t xml:space="preserve">see text; changes when t&gt; service life </t>
  </si>
  <si>
    <t>4 TRFC terms for SLTWP</t>
  </si>
  <si>
    <t>NGCC</t>
  </si>
  <si>
    <t>kg/MWh</t>
  </si>
  <si>
    <t>SCPC</t>
  </si>
  <si>
    <t>Power Plants</t>
  </si>
  <si>
    <t>Upstream CO2</t>
  </si>
  <si>
    <t>Upstream CH4</t>
  </si>
  <si>
    <t xml:space="preserve">In-Use CH4 </t>
  </si>
  <si>
    <t>In-Use CO2</t>
  </si>
  <si>
    <t>Vehicles</t>
  </si>
  <si>
    <t>LD-CNG</t>
  </si>
  <si>
    <t>LD-Gasoline</t>
  </si>
  <si>
    <t>kg/mmBtu HHV</t>
  </si>
  <si>
    <t>HD-CNG</t>
  </si>
  <si>
    <t>HD-ULSD</t>
  </si>
  <si>
    <t>mg/ton-mile</t>
  </si>
  <si>
    <t>Fuel Cycle CH4</t>
  </si>
  <si>
    <t>Fuel Cycle CO2</t>
  </si>
  <si>
    <t>Notes:</t>
  </si>
  <si>
    <t>CNG Well-to-Wheels leak Rate</t>
  </si>
  <si>
    <t>Natural Gas Leakage Rate Well-to-Pump</t>
  </si>
  <si>
    <t>The well-to-wheels leak rate is scaled from the well-to-pump value by incorporating the in-use vehicle CH4 value</t>
  </si>
  <si>
    <t>Leakage - Well to City /Gate (for power sector comparison)</t>
  </si>
  <si>
    <t xml:space="preserve">TRFM for FCTWP/RE </t>
  </si>
  <si>
    <t xml:space="preserve">4 TRFC terms for FCTWP/RE </t>
  </si>
  <si>
    <t>Assume methane comprises 90% of natural gas to come up with values in cells D13, D14 and D15</t>
  </si>
  <si>
    <t>2.2% well to pump methane leak rate was derived from 2011 EPA GHG EI, including distribution segement, and US gross Natural Gas Production Data (1.9% well to City gate)</t>
  </si>
  <si>
    <t>Reduced CNG HD leakage sensitivity</t>
  </si>
  <si>
    <t>Transportation Sector</t>
  </si>
  <si>
    <t>Power Sector</t>
  </si>
  <si>
    <t>New</t>
  </si>
  <si>
    <t>Current</t>
  </si>
  <si>
    <t>Time 
(years)</t>
  </si>
  <si>
    <t>CH4</t>
  </si>
  <si>
    <t>CO2</t>
  </si>
  <si>
    <t>Results for Power Plant Efficiency User-Defined Inputs</t>
  </si>
  <si>
    <t xml:space="preserve"> Policy Case</t>
  </si>
  <si>
    <t>Light-Duty Fleet</t>
  </si>
  <si>
    <t>Heavy-Duty Fleet</t>
  </si>
  <si>
    <t xml:space="preserve">Pulse </t>
  </si>
  <si>
    <t xml:space="preserve">Fleet Conversion </t>
  </si>
  <si>
    <t>15 years</t>
  </si>
  <si>
    <t>20 years</t>
  </si>
  <si>
    <t>50 years</t>
  </si>
  <si>
    <t>100 years</t>
  </si>
  <si>
    <t>Power 
Sector</t>
  </si>
  <si>
    <t>TOTAL</t>
  </si>
  <si>
    <t>Methane Leak Rates</t>
  </si>
  <si>
    <t>Total U.S. GHG Emissions</t>
  </si>
  <si>
    <t>Share of U.S. (%)</t>
  </si>
  <si>
    <t>Medium- and Heavy-Duty Trucks</t>
  </si>
  <si>
    <t>Total Light-Duty Vehicles</t>
  </si>
  <si>
    <t>Light-Duty Trucks</t>
  </si>
  <si>
    <t>Passenger Cars</t>
  </si>
  <si>
    <t>Electric Power Industry</t>
  </si>
  <si>
    <t>Radiative Forcing Changes (from PTWPs)</t>
  </si>
  <si>
    <t>time (yr)</t>
  </si>
  <si>
    <t>GWP</t>
  </si>
  <si>
    <t>Other CH4 Benefits*</t>
  </si>
  <si>
    <t>U.S. Total Natural Gas Consumption</t>
  </si>
  <si>
    <t>Total Delivered to Consumers</t>
  </si>
  <si>
    <t>Residential</t>
  </si>
  <si>
    <t>Share of Total Delivered to Consumers (%)</t>
  </si>
  <si>
    <t>Commercial</t>
  </si>
  <si>
    <t>Industrial</t>
  </si>
  <si>
    <t>Vehicle Fuel</t>
  </si>
  <si>
    <t>Electric Power</t>
  </si>
  <si>
    <t xml:space="preserve"> MMtCO2e</t>
  </si>
  <si>
    <t xml:space="preserve"> Well to City Gate</t>
  </si>
  <si>
    <t>Pump to Wheels</t>
  </si>
  <si>
    <t>Total</t>
  </si>
  <si>
    <t>Local Distribution</t>
  </si>
  <si>
    <t>Well to City Gate</t>
  </si>
  <si>
    <t>Lease and Plant Fuel</t>
  </si>
  <si>
    <t>Pipeline Distribution Use</t>
  </si>
  <si>
    <t>Other Sectors**</t>
  </si>
  <si>
    <t>Natural Gas Leak Rate*</t>
  </si>
  <si>
    <t>Total CO2e Emissions</t>
  </si>
  <si>
    <t>Total CH4</t>
  </si>
  <si>
    <t>Year after Conversion</t>
  </si>
  <si>
    <t>(GWP 21)</t>
  </si>
  <si>
    <t>Total Baseline Emissions for Different Time-Horizons (MMt)*</t>
  </si>
  <si>
    <t>Pulse Outputs</t>
  </si>
  <si>
    <t>Pulse</t>
  </si>
  <si>
    <t>FC</t>
  </si>
  <si>
    <t>LD Pulse</t>
  </si>
  <si>
    <t>LD FC</t>
  </si>
  <si>
    <t>HD Pulse</t>
  </si>
  <si>
    <t>HD FC</t>
  </si>
  <si>
    <t>TOTAL CH4 LEAKAGE (MMTCH4)</t>
  </si>
  <si>
    <t>Modeled Current Leakage</t>
  </si>
  <si>
    <t xml:space="preserve">Modeled New Leakage </t>
  </si>
  <si>
    <t>LEAKAGE FROM OTHER SECTORS (MMTCH4)</t>
  </si>
  <si>
    <t>Reduction</t>
  </si>
  <si>
    <t>Coal (%)</t>
  </si>
  <si>
    <t>Natural Gas (%)</t>
  </si>
  <si>
    <t>Gasoline (%)</t>
  </si>
  <si>
    <t>Diesel (%)</t>
  </si>
  <si>
    <t>Other Sectors</t>
  </si>
  <si>
    <t xml:space="preserve">Natural Gas   </t>
  </si>
  <si>
    <t>This model allows the user to examine the climate impacts of reducing methane emissions from natural gas systems in the context of a switch towards natural gas-fueled technologies. Specifically, it takes into consideration the warming potential and atmospheric life span of methane to differentiate between short and long-term climate impacts.</t>
  </si>
  <si>
    <t>Baseline</t>
  </si>
  <si>
    <t>Policy</t>
  </si>
  <si>
    <t>Coal</t>
  </si>
  <si>
    <t>NG</t>
  </si>
  <si>
    <t>For Reference</t>
  </si>
  <si>
    <t>Old Coal</t>
  </si>
  <si>
    <t>New Coal</t>
  </si>
  <si>
    <t>NG Heat Rates (Btu/kWh)</t>
  </si>
  <si>
    <t>Coal Heat Rates (Btu/kWh)</t>
  </si>
  <si>
    <t>Boundary for graph</t>
  </si>
  <si>
    <t>EPA Well-to-Pump Leakage Estimate (NG lost in the atmosphere/gross production)</t>
  </si>
  <si>
    <t>New CT</t>
  </si>
  <si>
    <t>New CC</t>
  </si>
  <si>
    <t>Assumption</t>
  </si>
  <si>
    <r>
      <t xml:space="preserve">Instructions
</t>
    </r>
    <r>
      <rPr>
        <b/>
        <u/>
        <sz val="15"/>
        <rFont val="Calibri"/>
        <family val="2"/>
        <scheme val="minor"/>
      </rPr>
      <t>U.S. NATURAL GAS LEAKAGE MODEL</t>
    </r>
  </si>
  <si>
    <t>Transport Sector</t>
  </si>
  <si>
    <t>Policy Case</t>
  </si>
  <si>
    <t>U.S. Greenhouse Gas Emissions Allocated to Economic Sectors</t>
  </si>
  <si>
    <t xml:space="preserve"> (Tg or million metric tons CO2 Eq.)</t>
  </si>
  <si>
    <t>Share (%)</t>
  </si>
  <si>
    <t>Share of Fossil Fuels (%)</t>
  </si>
  <si>
    <t>Natural Gas</t>
  </si>
  <si>
    <t>Total Fossil Fuels (omitting Petroleum)</t>
  </si>
  <si>
    <t>Nuclear Power</t>
  </si>
  <si>
    <t>Renewable Sources</t>
  </si>
  <si>
    <t>Total Zero-GHG</t>
  </si>
  <si>
    <t>Total (w/o Petroleum, Other)</t>
  </si>
  <si>
    <t>Total Electricity Generation</t>
  </si>
  <si>
    <t xml:space="preserve"> (billion kWh)</t>
  </si>
  <si>
    <t xml:space="preserve">  Light-Duty Vehicles</t>
  </si>
  <si>
    <t>Motor Gasoline</t>
  </si>
  <si>
    <t xml:space="preserve">  Heavy-Duty Vehicles</t>
  </si>
  <si>
    <t>Distillate Fuel Oil (Diesel)</t>
  </si>
  <si>
    <t>Pipeline Fuel Natural Gas</t>
  </si>
  <si>
    <t>Compressed Natural Gas</t>
  </si>
  <si>
    <t>Total Natural Gas</t>
  </si>
  <si>
    <t>Energy Use by Mode (quadrillion Btu)</t>
  </si>
  <si>
    <t>Light-Duty Vehicles &lt; 8500 pounds</t>
  </si>
  <si>
    <t>Commercial Light Trucks 1/</t>
  </si>
  <si>
    <t>Freight Trucks &gt; 10000 pounds</t>
  </si>
  <si>
    <t>Total Heavy-Duty Vehicles</t>
  </si>
  <si>
    <t>POWER SECTOR</t>
  </si>
  <si>
    <t>TRANSPORTATION SECTOR</t>
  </si>
  <si>
    <t>Energy Consumption</t>
  </si>
  <si>
    <t xml:space="preserve"> (quadrillion Btu)</t>
  </si>
  <si>
    <t>    Bus Transportation</t>
  </si>
  <si>
    <t>*Not adjusted for forcing from minor GHG components (N2O, HFCs, SF6, PFCs)</t>
  </si>
  <si>
    <t>TOTAL GHGs</t>
  </si>
  <si>
    <t xml:space="preserve">  Transportation-Related Natural Gas</t>
  </si>
  <si>
    <t>U.S. Natural Gas Consumption by End Use</t>
  </si>
  <si>
    <t xml:space="preserve"> (Million cubic feet)</t>
  </si>
  <si>
    <t>BASELINE FUEL MIX</t>
  </si>
  <si>
    <t>TOTAL % OTHER SECTORS</t>
  </si>
  <si>
    <t>SCENARIO OUTPUTS</t>
  </si>
  <si>
    <t>POWER SECTOR SHARES</t>
  </si>
  <si>
    <t>POWER SECTOR WARMING POTENTIALS  by TERM</t>
  </si>
  <si>
    <t>LIGHT-DUTY FLEET WARMING POTENTIALS  by TERM</t>
  </si>
  <si>
    <t>LIGHT DUTY FLEET SHARES</t>
  </si>
  <si>
    <t>Assumption (SCPC)</t>
  </si>
  <si>
    <t>1 kg = 2.205 lb</t>
  </si>
  <si>
    <t>HEAVY-DUTY FLEET SHARES</t>
  </si>
  <si>
    <t>HEAVY-DUTY FLEET WARMING POTENTIALS  by TERM</t>
  </si>
  <si>
    <t>Fuel Cycle Emissions-Well to City Gate</t>
  </si>
  <si>
    <t>I.  Vented Leaked CH4 and CO2</t>
  </si>
  <si>
    <t>GWP = 21</t>
  </si>
  <si>
    <t>MMTCO2e</t>
  </si>
  <si>
    <t>MMTCO2</t>
  </si>
  <si>
    <t>lb CO2 per mmBtu delivered</t>
  </si>
  <si>
    <t xml:space="preserve">Production </t>
  </si>
  <si>
    <t>Processing</t>
  </si>
  <si>
    <t>Transmission/Storage</t>
  </si>
  <si>
    <t>Total to City Gate</t>
  </si>
  <si>
    <t>Distribution</t>
  </si>
  <si>
    <t xml:space="preserve">II. Fuel Combustion </t>
  </si>
  <si>
    <t>Lease Fuel (Production)</t>
  </si>
  <si>
    <t>Plant Fuel (Processing)</t>
  </si>
  <si>
    <t>Pipeline (Transmission)</t>
  </si>
  <si>
    <t>Assumes 50% of pipeline fuel used in T system (equal amount in distribution)</t>
  </si>
  <si>
    <t>III. Electric Use - Pipeline Compression</t>
  </si>
  <si>
    <t>Assumes 50% of electricity used in T system (equal amount in distribution)</t>
  </si>
  <si>
    <t xml:space="preserve">lb CO2/mmBtu </t>
  </si>
  <si>
    <t>Leaks/Vented Emissions (2009) from EPA 2011 GHG EI DRAFT  --- GWP=21</t>
  </si>
  <si>
    <t>NG CH4 Emissions</t>
  </si>
  <si>
    <t>Petroleum CH4 Emissions</t>
  </si>
  <si>
    <t>NG Supply share of Petroleum CH4 emissions</t>
  </si>
  <si>
    <t>Net CH4 Emissions From Natural Gas Supply</t>
  </si>
  <si>
    <t>Net CO2 Emissions        (NG systems only)</t>
  </si>
  <si>
    <t>% of CH4 Emissions  from Well to City Gate</t>
  </si>
  <si>
    <t>% of CH4 Emissions  Entire System</t>
  </si>
  <si>
    <t xml:space="preserve">MMTCO2e </t>
  </si>
  <si>
    <t>Production</t>
  </si>
  <si>
    <t xml:space="preserve">Processing </t>
  </si>
  <si>
    <t>N/A</t>
  </si>
  <si>
    <t>CH4 Leakage at Production Site</t>
  </si>
  <si>
    <t>bcf</t>
  </si>
  <si>
    <t>CH4 Leakage, System Including Distribution</t>
  </si>
  <si>
    <t>CH4 Leakage, Well to City Gate</t>
  </si>
  <si>
    <t>CO2 Leakage, Excluding Distribution</t>
  </si>
  <si>
    <t>% Leakage, well to City Gate</t>
  </si>
  <si>
    <t>Using Formula in EPA GHG MRR Docket (CH4 leaked divided by Gross Production + Vented/Leaked gas at lease)</t>
  </si>
  <si>
    <t>% Leakage, Including Distribution</t>
  </si>
  <si>
    <t>% Leak/Vent at Well Site</t>
  </si>
  <si>
    <t>Data needed for the calculations on this page</t>
  </si>
  <si>
    <t>Btu/cubic foot</t>
  </si>
  <si>
    <t>Emission Factor CO2 from NG combustion</t>
  </si>
  <si>
    <t>lb CO2/mmBtu</t>
  </si>
  <si>
    <t>AP-42 Table 3.1-2a (Stationary Internal Combustion Sources) April 2000</t>
  </si>
  <si>
    <t>CO2 from NG combustion</t>
  </si>
  <si>
    <t>lb CO2/million scf</t>
  </si>
  <si>
    <t>Calculated from AP-42 emission factor and heat content</t>
  </si>
  <si>
    <t>Calculated mmBtu delivered (2009)</t>
  </si>
  <si>
    <t>mmBtu</t>
  </si>
  <si>
    <t xml:space="preserve">calculated from NG delivered and Heat content of NG </t>
  </si>
  <si>
    <t>NG Use- Plant Fuel</t>
  </si>
  <si>
    <t>GWh</t>
  </si>
  <si>
    <t>lb/MWh</t>
  </si>
  <si>
    <t>Calculated from Total CO2 divided by Total Electric Generation</t>
  </si>
  <si>
    <t>Gross Heat Content of US Crude Oil Production</t>
  </si>
  <si>
    <t>mmBtu/barrel</t>
  </si>
  <si>
    <t>EIA, International Energy Annual 2006, Table C.3</t>
  </si>
  <si>
    <t>US Crude Oil production (2009)</t>
  </si>
  <si>
    <t>EIA, Annual Energy Review 2009, Table 5.2</t>
  </si>
  <si>
    <t>NG fraction of total energy content from Oil wells (2009)</t>
  </si>
  <si>
    <t>Calculated by dividing mmBtu of gas from oil wells into total mmBtu from oil and gas produced from oil wells</t>
  </si>
  <si>
    <t>Power Plant CO2</t>
  </si>
  <si>
    <t>Power Plant</t>
  </si>
  <si>
    <t>Vented/Leaked CO2</t>
  </si>
  <si>
    <t>NG Combustion</t>
  </si>
  <si>
    <t>Electric Compression CO2</t>
  </si>
  <si>
    <t>Lease Fuel</t>
  </si>
  <si>
    <t>Plant Fuel</t>
  </si>
  <si>
    <t>Pipeline</t>
  </si>
  <si>
    <t>Fuel Cycle Total</t>
  </si>
  <si>
    <t>MMt CH4</t>
  </si>
  <si>
    <t>kg CO2e per mmBtu delivered</t>
  </si>
  <si>
    <t>Kg CH4 per mmBtu delivered</t>
  </si>
  <si>
    <t>Kg CO2 per mmBtu delivered</t>
  </si>
  <si>
    <t>kg CO2 per mmBtu delivered</t>
  </si>
  <si>
    <t xml:space="preserve">kg CO2/mmBtu </t>
  </si>
  <si>
    <t>kgCO2/mmBtu (except otherwise noted)</t>
  </si>
  <si>
    <t>Vented/Leaked CH4 
(kg CH4/mmBtu)</t>
  </si>
  <si>
    <t>User Well-to-City Gate NG baseline Leak Rate</t>
  </si>
  <si>
    <t>Natural Gas Plant Emissions Factors (as a function of plant heat rates)</t>
  </si>
  <si>
    <t>In-Use CH4</t>
  </si>
  <si>
    <t>Heat Rates (Btu/kWh)</t>
  </si>
  <si>
    <t>Emissions Factors in kg/MWh</t>
  </si>
  <si>
    <t>Emissions Factor Outputs (kg/MWh)</t>
  </si>
  <si>
    <t>Indicative Heat Rates</t>
  </si>
  <si>
    <t>Zero emission fuels (%)</t>
  </si>
  <si>
    <r>
      <t>Power Sector Fleet Efficiency*</t>
    </r>
    <r>
      <rPr>
        <sz val="11"/>
        <color theme="1"/>
        <rFont val="Calibri"/>
        <family val="2"/>
        <scheme val="minor"/>
      </rPr>
      <t xml:space="preserve"> (Heat Rate in Btu/kWh)</t>
    </r>
  </si>
  <si>
    <t>* Policy case heat rates will only be applied to additional plants above the baseline share.</t>
  </si>
  <si>
    <r>
      <t>n</t>
    </r>
    <r>
      <rPr>
        <sz val="8"/>
        <rFont val="Calibri"/>
        <family val="2"/>
        <scheme val="minor"/>
      </rPr>
      <t>,NG,1,POLICY</t>
    </r>
  </si>
  <si>
    <r>
      <t>n</t>
    </r>
    <r>
      <rPr>
        <sz val="8"/>
        <rFont val="Calibri"/>
        <family val="2"/>
        <scheme val="minor"/>
      </rPr>
      <t>,NG,2,POLICY</t>
    </r>
  </si>
  <si>
    <r>
      <t>n</t>
    </r>
    <r>
      <rPr>
        <sz val="8"/>
        <rFont val="Calibri"/>
        <family val="2"/>
        <scheme val="minor"/>
      </rPr>
      <t>,COAL,1,POLICY</t>
    </r>
  </si>
  <si>
    <r>
      <t>n</t>
    </r>
    <r>
      <rPr>
        <sz val="8"/>
        <rFont val="Calibri"/>
        <family val="2"/>
        <scheme val="minor"/>
      </rPr>
      <t>,COAL,2,POLICY</t>
    </r>
  </si>
  <si>
    <r>
      <t>n</t>
    </r>
    <r>
      <rPr>
        <sz val="8"/>
        <rFont val="Calibri"/>
        <family val="2"/>
        <scheme val="minor"/>
      </rPr>
      <t>,NG,BASE</t>
    </r>
  </si>
  <si>
    <r>
      <t>n</t>
    </r>
    <r>
      <rPr>
        <sz val="8"/>
        <rFont val="Calibri"/>
        <family val="2"/>
        <scheme val="minor"/>
      </rPr>
      <t>,COAL,BASE</t>
    </r>
  </si>
  <si>
    <r>
      <rPr>
        <sz val="14"/>
        <rFont val="Calibri"/>
        <family val="2"/>
        <scheme val="minor"/>
      </rPr>
      <t>NG</t>
    </r>
    <r>
      <rPr>
        <sz val="10"/>
        <rFont val="Calibri"/>
        <family val="2"/>
        <scheme val="minor"/>
      </rPr>
      <t>,1,Policy</t>
    </r>
  </si>
  <si>
    <r>
      <rPr>
        <sz val="14"/>
        <rFont val="Calibri"/>
        <family val="2"/>
        <scheme val="minor"/>
      </rPr>
      <t>NG</t>
    </r>
    <r>
      <rPr>
        <sz val="10"/>
        <rFont val="Calibri"/>
        <family val="2"/>
        <scheme val="minor"/>
      </rPr>
      <t>,2,Policy</t>
    </r>
  </si>
  <si>
    <r>
      <rPr>
        <sz val="14"/>
        <rFont val="Calibri"/>
        <family val="2"/>
        <scheme val="minor"/>
      </rPr>
      <t>COAL</t>
    </r>
    <r>
      <rPr>
        <sz val="10"/>
        <rFont val="Calibri"/>
        <family val="2"/>
        <scheme val="minor"/>
      </rPr>
      <t>,1,Policy</t>
    </r>
  </si>
  <si>
    <r>
      <rPr>
        <sz val="14"/>
        <rFont val="Calibri"/>
        <family val="2"/>
        <scheme val="minor"/>
      </rPr>
      <t>COAL</t>
    </r>
    <r>
      <rPr>
        <sz val="10"/>
        <rFont val="Calibri"/>
        <family val="2"/>
        <scheme val="minor"/>
      </rPr>
      <t>,2,Policy</t>
    </r>
  </si>
  <si>
    <r>
      <rPr>
        <sz val="14"/>
        <rFont val="Calibri"/>
        <family val="2"/>
        <scheme val="minor"/>
      </rPr>
      <t>NG</t>
    </r>
    <r>
      <rPr>
        <sz val="10"/>
        <rFont val="Calibri"/>
        <family val="2"/>
        <scheme val="minor"/>
      </rPr>
      <t>,BASE</t>
    </r>
  </si>
  <si>
    <r>
      <rPr>
        <sz val="14"/>
        <rFont val="Calibri"/>
        <family val="2"/>
        <scheme val="minor"/>
      </rPr>
      <t>COAL</t>
    </r>
    <r>
      <rPr>
        <sz val="10"/>
        <rFont val="Calibri"/>
        <family val="2"/>
        <scheme val="minor"/>
      </rPr>
      <t>,Base</t>
    </r>
  </si>
  <si>
    <r>
      <t>n</t>
    </r>
    <r>
      <rPr>
        <sz val="8"/>
        <rFont val="Calibri"/>
        <family val="2"/>
        <scheme val="minor"/>
      </rPr>
      <t>,NG,POLICY</t>
    </r>
  </si>
  <si>
    <r>
      <t>n</t>
    </r>
    <r>
      <rPr>
        <sz val="8"/>
        <rFont val="Calibri"/>
        <family val="2"/>
        <scheme val="minor"/>
      </rPr>
      <t>,GAS,POLICY</t>
    </r>
  </si>
  <si>
    <r>
      <t>n</t>
    </r>
    <r>
      <rPr>
        <sz val="8"/>
        <rFont val="Calibri"/>
        <family val="2"/>
        <scheme val="minor"/>
      </rPr>
      <t>,GAS,BASE</t>
    </r>
  </si>
  <si>
    <r>
      <rPr>
        <sz val="14"/>
        <rFont val="Calibri"/>
        <family val="2"/>
        <scheme val="minor"/>
      </rPr>
      <t>NG</t>
    </r>
    <r>
      <rPr>
        <sz val="10"/>
        <rFont val="Calibri"/>
        <family val="2"/>
        <scheme val="minor"/>
      </rPr>
      <t>,Policy</t>
    </r>
  </si>
  <si>
    <r>
      <rPr>
        <sz val="14"/>
        <rFont val="Calibri"/>
        <family val="2"/>
        <scheme val="minor"/>
      </rPr>
      <t>GAS</t>
    </r>
    <r>
      <rPr>
        <sz val="10"/>
        <rFont val="Calibri"/>
        <family val="2"/>
        <scheme val="minor"/>
      </rPr>
      <t>,Policy</t>
    </r>
  </si>
  <si>
    <r>
      <rPr>
        <sz val="14"/>
        <rFont val="Calibri"/>
        <family val="2"/>
        <scheme val="minor"/>
      </rPr>
      <t>NG</t>
    </r>
    <r>
      <rPr>
        <sz val="10"/>
        <rFont val="Calibri"/>
        <family val="2"/>
        <scheme val="minor"/>
      </rPr>
      <t>,Base</t>
    </r>
  </si>
  <si>
    <r>
      <rPr>
        <sz val="14"/>
        <rFont val="Calibri"/>
        <family val="2"/>
        <scheme val="minor"/>
      </rPr>
      <t>GAS</t>
    </r>
    <r>
      <rPr>
        <sz val="10"/>
        <rFont val="Calibri"/>
        <family val="2"/>
        <scheme val="minor"/>
      </rPr>
      <t>,Base</t>
    </r>
  </si>
  <si>
    <r>
      <t>n</t>
    </r>
    <r>
      <rPr>
        <sz val="8"/>
        <rFont val="Calibri"/>
        <family val="2"/>
        <scheme val="minor"/>
      </rPr>
      <t>,DIESEL,POLICY</t>
    </r>
  </si>
  <si>
    <r>
      <t>n</t>
    </r>
    <r>
      <rPr>
        <sz val="8"/>
        <rFont val="Calibri"/>
        <family val="2"/>
        <scheme val="minor"/>
      </rPr>
      <t>,DIESEL,BASE</t>
    </r>
  </si>
  <si>
    <r>
      <rPr>
        <sz val="14"/>
        <rFont val="Calibri"/>
        <family val="2"/>
        <scheme val="minor"/>
      </rPr>
      <t>DIESEL</t>
    </r>
    <r>
      <rPr>
        <sz val="10"/>
        <rFont val="Calibri"/>
        <family val="2"/>
        <scheme val="minor"/>
      </rPr>
      <t>,Policy</t>
    </r>
  </si>
  <si>
    <r>
      <rPr>
        <sz val="14"/>
        <rFont val="Calibri"/>
        <family val="2"/>
        <scheme val="minor"/>
      </rPr>
      <t>DIESEL</t>
    </r>
    <r>
      <rPr>
        <sz val="10"/>
        <rFont val="Calibri"/>
        <family val="2"/>
        <scheme val="minor"/>
      </rPr>
      <t>,Base</t>
    </r>
  </si>
  <si>
    <t>TPWP
Pulse</t>
  </si>
  <si>
    <t>TPWP
FC</t>
  </si>
  <si>
    <t>IV. Combustion at Power Plant*</t>
  </si>
  <si>
    <t>Local Distribution 
(City Gate to Pump)</t>
  </si>
  <si>
    <t>Policy Case (Additional Plants)</t>
  </si>
  <si>
    <t>SUMMARY OF CLIMATE INFLUENCE FROM YOUR ENERGY/POLICY CHOICES</t>
  </si>
  <si>
    <t>* Natural gas lost in the atmosphere as a percentage of gross production; Well to City Gate includes production, processing and interstate pipelines; natural gas assumed to consist of 90% methane. 
** Other sectors include non-electricity residential, commercial and industrial.</t>
  </si>
  <si>
    <t>Number of Years after Conversion**</t>
  </si>
  <si>
    <r>
      <t>n</t>
    </r>
    <r>
      <rPr>
        <sz val="8"/>
        <rFont val="Calibri"/>
        <family val="2"/>
        <scheme val="minor"/>
      </rPr>
      <t>NGb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NGbCH4</t>
    </r>
  </si>
  <si>
    <r>
      <t>n</t>
    </r>
    <r>
      <rPr>
        <sz val="8"/>
        <rFont val="Calibri"/>
        <family val="2"/>
        <scheme val="minor"/>
      </rPr>
      <t>Cb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CbCH4</t>
    </r>
  </si>
  <si>
    <r>
      <t>n</t>
    </r>
    <r>
      <rPr>
        <sz val="8"/>
        <rFont val="Calibri"/>
        <family val="2"/>
        <scheme val="minor"/>
      </rPr>
      <t>C1p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C1pCH4</t>
    </r>
  </si>
  <si>
    <r>
      <t>n</t>
    </r>
    <r>
      <rPr>
        <sz val="8"/>
        <rFont val="Calibri"/>
        <family val="2"/>
        <scheme val="minor"/>
      </rPr>
      <t>C2p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C2pCH4</t>
    </r>
  </si>
  <si>
    <r>
      <t>n</t>
    </r>
    <r>
      <rPr>
        <sz val="8"/>
        <rFont val="Calibri"/>
        <family val="2"/>
        <scheme val="minor"/>
      </rPr>
      <t>NGb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NGbCO2</t>
    </r>
  </si>
  <si>
    <r>
      <t>n</t>
    </r>
    <r>
      <rPr>
        <sz val="8"/>
        <rFont val="Calibri"/>
        <family val="2"/>
        <scheme val="minor"/>
      </rPr>
      <t>Cb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CbCO2</t>
    </r>
  </si>
  <si>
    <r>
      <t>n</t>
    </r>
    <r>
      <rPr>
        <sz val="8"/>
        <rFont val="Calibri"/>
        <family val="2"/>
        <scheme val="minor"/>
      </rPr>
      <t>C1p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C1pCO2</t>
    </r>
  </si>
  <si>
    <r>
      <t>n</t>
    </r>
    <r>
      <rPr>
        <sz val="8"/>
        <rFont val="Calibri"/>
        <family val="2"/>
        <scheme val="minor"/>
      </rPr>
      <t>C2p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C2pCO2</t>
    </r>
  </si>
  <si>
    <r>
      <t>n</t>
    </r>
    <r>
      <rPr>
        <sz val="8"/>
        <rFont val="Calibri"/>
        <family val="2"/>
        <scheme val="minor"/>
      </rPr>
      <t>NG1p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NG1pCO2</t>
    </r>
  </si>
  <si>
    <r>
      <t>n</t>
    </r>
    <r>
      <rPr>
        <sz val="8"/>
        <rFont val="Calibri"/>
        <family val="2"/>
        <scheme val="minor"/>
      </rPr>
      <t>NG2p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NG2pCO2</t>
    </r>
  </si>
  <si>
    <r>
      <t>n</t>
    </r>
    <r>
      <rPr>
        <sz val="8"/>
        <rFont val="Calibri"/>
        <family val="2"/>
        <scheme val="minor"/>
      </rPr>
      <t>NG1p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NG1pCH4</t>
    </r>
  </si>
  <si>
    <r>
      <t>n</t>
    </r>
    <r>
      <rPr>
        <sz val="8"/>
        <rFont val="Calibri"/>
        <family val="2"/>
        <scheme val="minor"/>
      </rPr>
      <t>NG2p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NG2pCH4</t>
    </r>
  </si>
  <si>
    <t>User CH4 Emissions from NG systems</t>
  </si>
  <si>
    <t>Other CH4 Emissions</t>
  </si>
  <si>
    <t>User Total CH4 Emissions</t>
  </si>
  <si>
    <t>EPA Inventory Total CH4 Emissions</t>
  </si>
  <si>
    <t>Power Sector Cross-Over Leak Rate</t>
  </si>
  <si>
    <r>
      <t>n</t>
    </r>
    <r>
      <rPr>
        <sz val="8"/>
        <rFont val="Calibri"/>
        <family val="2"/>
        <scheme val="minor"/>
      </rPr>
      <t>Gb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GbCH4</t>
    </r>
  </si>
  <si>
    <r>
      <t>n</t>
    </r>
    <r>
      <rPr>
        <sz val="8"/>
        <rFont val="Calibri"/>
        <family val="2"/>
        <scheme val="minor"/>
      </rPr>
      <t>Gp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GpCH4</t>
    </r>
  </si>
  <si>
    <r>
      <t>n</t>
    </r>
    <r>
      <rPr>
        <sz val="8"/>
        <rFont val="Calibri"/>
        <family val="2"/>
        <scheme val="minor"/>
      </rPr>
      <t>Gb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GbCO2</t>
    </r>
  </si>
  <si>
    <r>
      <t>n</t>
    </r>
    <r>
      <rPr>
        <sz val="8"/>
        <rFont val="Calibri"/>
        <family val="2"/>
        <scheme val="minor"/>
      </rPr>
      <t>NGp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NGpCO2</t>
    </r>
  </si>
  <si>
    <r>
      <t>n</t>
    </r>
    <r>
      <rPr>
        <sz val="8"/>
        <rFont val="Calibri"/>
        <family val="2"/>
        <scheme val="minor"/>
      </rPr>
      <t>Gp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GpCO2</t>
    </r>
  </si>
  <si>
    <r>
      <t>n</t>
    </r>
    <r>
      <rPr>
        <sz val="8"/>
        <rFont val="Calibri"/>
        <family val="2"/>
        <scheme val="minor"/>
      </rPr>
      <t>NGp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NGpCH4</t>
    </r>
  </si>
  <si>
    <t>LD Cross-Over 
Leak Rate</t>
  </si>
  <si>
    <t>Power</t>
  </si>
  <si>
    <t>NatGas Base CH4</t>
  </si>
  <si>
    <t>Coal Base CH4</t>
  </si>
  <si>
    <t>Old Coal Policy CH4</t>
  </si>
  <si>
    <t>New Coal Policy CH4</t>
  </si>
  <si>
    <t>NatGas Base CO2</t>
  </si>
  <si>
    <t>Coal Base CO2</t>
  </si>
  <si>
    <t>Old Coal Policy CO2</t>
  </si>
  <si>
    <t>New Coal Policy CO2</t>
  </si>
  <si>
    <t>Old NG Policy CO2</t>
  </si>
  <si>
    <t>New NG Policy CO2</t>
  </si>
  <si>
    <t>Old NG Policy CH4</t>
  </si>
  <si>
    <t>New NG Policy CH4</t>
  </si>
  <si>
    <t>Equation Term</t>
  </si>
  <si>
    <t>Power Sector Calculations</t>
  </si>
  <si>
    <t>Light-Duty Calculations</t>
  </si>
  <si>
    <t>NG Base CH4</t>
  </si>
  <si>
    <t>Gas Base CH4</t>
  </si>
  <si>
    <t>Gas Policy CH4</t>
  </si>
  <si>
    <t>NG Base CO2</t>
  </si>
  <si>
    <t>Gas Base CO2</t>
  </si>
  <si>
    <t>NG Policy CO2</t>
  </si>
  <si>
    <t>Gas Policy CO2</t>
  </si>
  <si>
    <t>NG Policy CH4</t>
  </si>
  <si>
    <t>Heavy-Duty Calculations</t>
  </si>
  <si>
    <t>Diesel Base CH4</t>
  </si>
  <si>
    <t>Diesel Policy CH4</t>
  </si>
  <si>
    <t>Diesel Base CO2</t>
  </si>
  <si>
    <t>Diesel Policy CO2</t>
  </si>
  <si>
    <r>
      <t>n</t>
    </r>
    <r>
      <rPr>
        <sz val="8"/>
        <rFont val="Calibri"/>
        <family val="2"/>
        <scheme val="minor"/>
      </rPr>
      <t>Db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DbCH4</t>
    </r>
  </si>
  <si>
    <r>
      <t>n</t>
    </r>
    <r>
      <rPr>
        <sz val="8"/>
        <rFont val="Calibri"/>
        <family val="2"/>
        <scheme val="minor"/>
      </rPr>
      <t>Dp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DpCH4</t>
    </r>
  </si>
  <si>
    <r>
      <t>n</t>
    </r>
    <r>
      <rPr>
        <sz val="8"/>
        <rFont val="Calibri"/>
        <family val="2"/>
        <scheme val="minor"/>
      </rPr>
      <t>Db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DbCO2</t>
    </r>
  </si>
  <si>
    <r>
      <t>n</t>
    </r>
    <r>
      <rPr>
        <sz val="8"/>
        <rFont val="Calibri"/>
        <family val="2"/>
        <scheme val="minor"/>
      </rPr>
      <t>Dp</t>
    </r>
    <r>
      <rPr>
        <sz val="14"/>
        <rFont val="Calibri"/>
        <family val="2"/>
        <scheme val="minor"/>
      </rPr>
      <t>E</t>
    </r>
    <r>
      <rPr>
        <sz val="8"/>
        <rFont val="Calibri"/>
        <family val="2"/>
        <scheme val="minor"/>
      </rPr>
      <t>DpCO2</t>
    </r>
  </si>
  <si>
    <t>Share (n)</t>
  </si>
  <si>
    <t>Emissions Factor (E)</t>
  </si>
  <si>
    <t>HD Cross-Over 
Leak Rate</t>
  </si>
  <si>
    <t>Product (nE)</t>
  </si>
  <si>
    <t>Light-Duty</t>
  </si>
  <si>
    <t>Heavy-Duty</t>
  </si>
  <si>
    <t>BASELINE DATA (2010)</t>
  </si>
  <si>
    <t>US 2010 Baseline Methane Emissions from NG Systems (MMtCO2e)</t>
  </si>
  <si>
    <t xml:space="preserve">2010 CH4 Baseline Emissions </t>
  </si>
  <si>
    <t>Gross Production (2010)</t>
  </si>
  <si>
    <t>NG Delivered to Customers (2010)</t>
  </si>
  <si>
    <t>NG Use - Lease Fuel - 2010</t>
  </si>
  <si>
    <t>NG Use - Pipeline and Distribution  - 2010</t>
  </si>
  <si>
    <t>EIA Natural Gas Annual 2010, Table 3 (includes Gas Wells + Oil Wells+Coalbed)</t>
  </si>
  <si>
    <t xml:space="preserve">EIA Natural Gas Annual 2010, Table 1, 16 </t>
  </si>
  <si>
    <t>EIA Natural Gas Annual 2010, Table 1</t>
  </si>
  <si>
    <t>Natural Gas from Oil Wells (2010)</t>
  </si>
  <si>
    <t>Total CO2 from US Power Plants (2010)</t>
  </si>
  <si>
    <t>EPA,  2012 GHG EI DRAFT Table 3-1</t>
  </si>
  <si>
    <t>EIA, Natural Gas Annual 2010, Table 3</t>
  </si>
  <si>
    <t>Total Electric Power Sector Generation (2010)</t>
  </si>
  <si>
    <t>EIA  Annual Energy Review 2010, Table 8.2b</t>
  </si>
  <si>
    <t xml:space="preserve">Average CO2 emissions factor US Power Plants (2010) </t>
  </si>
  <si>
    <t>Heat Content of Natural Gas (2010)</t>
  </si>
  <si>
    <t>EIA Annual Energy Review 2010, Table A4</t>
  </si>
  <si>
    <t>Electric Use Pipeline Compression (2009)</t>
  </si>
  <si>
    <t>Transportation Energy Data Book, Edition 30-2011</t>
  </si>
  <si>
    <t>Baseline (2010)</t>
  </si>
  <si>
    <t>Results for Break-Even Leak Rates by Sector as a Function of Time</t>
  </si>
  <si>
    <t>Climate Influence of U.S. GHG Emissions relative to 2010 Emissions (%)*</t>
  </si>
  <si>
    <t>* From CO2 content coefficient in pipeline natural gas (EPA, Draft Inventory of U.S. Greenhouse Gas Emissions and Sinks: 1990-2010, Table A-35).</t>
  </si>
  <si>
    <t>billion barrels/year</t>
  </si>
  <si>
    <t>AVERAGE (2010)</t>
  </si>
  <si>
    <t>User-Defined Emission Factors per mmBtu</t>
  </si>
  <si>
    <t>CROSS-OVER LEAK RATE BACKGROUND CALCULATIONS</t>
  </si>
  <si>
    <t>All cells highlighted in yellow indicate baseline data that needs to be updated as the latest data is available</t>
  </si>
  <si>
    <t>* Climate influence is short-hand for the relative change in the cumulative radiative forcing (in W/m2 ) due to U.S. greenhouse gas emissions over specific time horizons depending on user-defined adjustments to the U.S. natural gas leak rate and technology switch scenarios; positive values represent an increase in radiative forcing.
** The model assumes an instantaneous switch in technologies.</t>
  </si>
  <si>
    <t>CHANGES IN NET RADIATIVE FORCING RELATIVE TO 2010 US EMISSIONS (%) FOR DIFFERENT TIME HORIZONS</t>
  </si>
  <si>
    <t>Note - EPA data was used as the basis for baseline leakage rates from the U.S. natural gas supply (2% from well to city gate and 0.3% in the local distribution system). Debate exists over the accuracy of EPA estimates. Industry, for instance, tends to believe they are too high. In the literature, estimates range from 1 to 8%. The model allows for total leak rates as high as 12% - but this is considered an extremely unlikely scenario. The Pump to Wheels default rate (0.5%) is an EDF estimate based on limited published data.</t>
  </si>
  <si>
    <t>All Time-Frames**</t>
  </si>
  <si>
    <t xml:space="preserve">The cross-over leak rate indicates the natural gas leak rate below which the technology switch in a specific sector is beneficial to the climate for a given time-frame. Natural Gas leakage occurs from well to city gate for the power sector and from well to wheels for the transport sector. </t>
  </si>
  <si>
    <t>** 15 and 50 years correspond to the average service lifetime of vehicles and power plants respectively. "All Time-Frames" indicates the leak rate under which the technology switch is beneficial to the climate at all time-horizons.</t>
  </si>
  <si>
    <t>* Non-electricity residential, commercial and industrial sectors are not included in this analysis because of the absence of fuel switching.</t>
  </si>
  <si>
    <t>Natural Gas Cross-Over Leak Rate by Sector for Selected Years after Technology Switch*</t>
  </si>
  <si>
    <t xml:space="preserve">* The model assumes constant demand.
** The model excludes petroleum (which makes up only approximately 1% of power generation). "Zero emissions fuels" include hydro, wind, solar and nuclear.
*** The model assumes the only options are gasoline or natural gas powered vehicles; the model excludes diesel for simplicity. In the future, we hope to include as an option electric vehicles.  </t>
  </si>
  <si>
    <t>SCENARIO INPUTS</t>
  </si>
  <si>
    <t>Fuel Mix*</t>
  </si>
  <si>
    <t>Power Sector**</t>
  </si>
  <si>
    <t>Light-Duty Fleet***</t>
  </si>
  <si>
    <r>
      <t>Step 1: Define a policy case by changing</t>
    </r>
    <r>
      <rPr>
        <b/>
        <sz val="10.5"/>
        <color theme="8" tint="0.79998168889431442"/>
        <rFont val="Calibri"/>
        <family val="2"/>
        <scheme val="minor"/>
      </rPr>
      <t xml:space="preserve"> light blue</t>
    </r>
    <r>
      <rPr>
        <b/>
        <sz val="10.5"/>
        <color theme="1"/>
        <rFont val="Calibri"/>
        <family val="2"/>
        <scheme val="minor"/>
      </rPr>
      <t xml:space="preserve"> cells in the "Scenario Inputs" box of the "Control Panel"
</t>
    </r>
    <r>
      <rPr>
        <sz val="10.5"/>
        <color theme="1"/>
        <rFont val="Calibri"/>
        <family val="2"/>
        <scheme val="minor"/>
      </rPr>
      <t xml:space="preserve">Enter the desired values for natural gas leak rates and sector fuel mixes for your scenario. Power plant efficiencies can be modified as well.  When you change the percentage in a light blue box, the associated grey box will be automatically adjusted so the sum equals 100%.
</t>
    </r>
    <r>
      <rPr>
        <b/>
        <sz val="10.5"/>
        <color theme="1"/>
        <rFont val="Calibri"/>
        <family val="2"/>
        <scheme val="minor"/>
      </rPr>
      <t xml:space="preserve">Step 2: Determine the impact of the policy case on the climate </t>
    </r>
    <r>
      <rPr>
        <sz val="10.5"/>
        <color theme="1"/>
        <rFont val="Calibri"/>
        <family val="2"/>
        <scheme val="minor"/>
      </rPr>
      <t xml:space="preserve">
The "Control Panel" displays results in the form of a graph and of a summary table. Results are represented as a percentage change in net radiative forcing, relative to 2010 U.S. emissions. Positive numbers indicate the changes will lead to climate damage, while negative changes indicate climate benefit. You can find a larger version of the graph in the "Summary Chart" tab. The "Cross-Over Leak Rate" tab estimates the natural gas leak rate below which your fuel mix scenario becomes beneficial to the climate at a given time-frame.</t>
    </r>
  </si>
  <si>
    <t>www.edf.org/leakagemodel</t>
  </si>
  <si>
    <r>
      <t xml:space="preserve">Developed by Environmental Defense Fund 2012 
</t>
    </r>
    <r>
      <rPr>
        <sz val="10"/>
        <color theme="1"/>
        <rFont val="Calibri"/>
        <family val="2"/>
        <scheme val="minor"/>
      </rPr>
      <t>(Version 1.2 - 04/09/12)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</si>
</sst>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0.000"/>
    <numFmt numFmtId="165" formatCode="0.0"/>
    <numFmt numFmtId="166" formatCode="0.0%"/>
    <numFmt numFmtId="167" formatCode="_(* #,##0_);_(* \(#,##0\);_(* &quot;-&quot;??_);_(@_)"/>
    <numFmt numFmtId="168" formatCode="_(* #,##0.00000_);_(* \(#,##0.00000\);_(* &quot;-&quot;??_);_(@_)"/>
    <numFmt numFmtId="169" formatCode="0.0000"/>
    <numFmt numFmtId="170" formatCode="#,##0.0"/>
    <numFmt numFmtId="171" formatCode="0.000%"/>
  </numFmts>
  <fonts count="62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name val="Calibri"/>
      <family val="2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3"/>
      <color rgb="FF000000"/>
      <name val="Calibri"/>
      <family val="2"/>
    </font>
    <font>
      <b/>
      <sz val="10.5"/>
      <color theme="1"/>
      <name val="Calibri"/>
      <family val="2"/>
      <scheme val="minor"/>
    </font>
    <font>
      <b/>
      <sz val="10.5"/>
      <color theme="8" tint="0.79998168889431442"/>
      <name val="Calibri"/>
      <family val="2"/>
      <scheme val="minor"/>
    </font>
    <font>
      <sz val="10"/>
      <name val="Verdana"/>
      <family val="2"/>
    </font>
    <font>
      <b/>
      <sz val="15"/>
      <name val="Calibri"/>
      <family val="2"/>
      <scheme val="minor"/>
    </font>
    <font>
      <b/>
      <u/>
      <sz val="15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u/>
      <sz val="10"/>
      <color theme="1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9" fontId="19" fillId="0" borderId="0" applyFont="0" applyFill="0" applyBorder="0" applyAlignment="0" applyProtection="0"/>
    <xf numFmtId="0" fontId="17" fillId="0" borderId="0"/>
    <xf numFmtId="0" fontId="24" fillId="0" borderId="0"/>
    <xf numFmtId="166" fontId="24" fillId="0" borderId="0" applyFont="0" applyFill="0" applyBorder="0" applyAlignment="0" applyProtection="0"/>
    <xf numFmtId="0" fontId="24" fillId="0" borderId="0"/>
    <xf numFmtId="9" fontId="15" fillId="0" borderId="0" applyFont="0" applyFill="0" applyBorder="0" applyAlignment="0" applyProtection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</cellStyleXfs>
  <cellXfs count="697">
    <xf numFmtId="0" fontId="0" fillId="0" borderId="0" xfId="0"/>
    <xf numFmtId="0" fontId="17" fillId="0" borderId="0" xfId="2"/>
    <xf numFmtId="9" fontId="17" fillId="3" borderId="33" xfId="1" applyFont="1" applyFill="1" applyBorder="1" applyAlignment="1">
      <alignment horizontal="center" vertical="center"/>
    </xf>
    <xf numFmtId="0" fontId="17" fillId="0" borderId="0" xfId="2" applyAlignment="1">
      <alignment horizontal="left" vertical="center" indent="1"/>
    </xf>
    <xf numFmtId="0" fontId="17" fillId="4" borderId="15" xfId="2" applyFill="1" applyBorder="1"/>
    <xf numFmtId="0" fontId="17" fillId="4" borderId="0" xfId="2" applyFill="1" applyBorder="1"/>
    <xf numFmtId="0" fontId="17" fillId="4" borderId="16" xfId="2" applyFill="1" applyBorder="1"/>
    <xf numFmtId="0" fontId="17" fillId="4" borderId="31" xfId="2" applyFill="1" applyBorder="1"/>
    <xf numFmtId="0" fontId="17" fillId="4" borderId="47" xfId="2" applyFill="1" applyBorder="1"/>
    <xf numFmtId="0" fontId="17" fillId="5" borderId="31" xfId="2" applyFill="1" applyBorder="1"/>
    <xf numFmtId="0" fontId="17" fillId="5" borderId="47" xfId="2" applyFill="1" applyBorder="1"/>
    <xf numFmtId="0" fontId="17" fillId="5" borderId="35" xfId="2" applyFill="1" applyBorder="1"/>
    <xf numFmtId="0" fontId="17" fillId="6" borderId="27" xfId="2" applyFont="1" applyFill="1" applyBorder="1" applyAlignment="1">
      <alignment horizontal="center" vertical="center" wrapText="1"/>
    </xf>
    <xf numFmtId="0" fontId="23" fillId="6" borderId="23" xfId="2" applyFont="1" applyFill="1" applyBorder="1" applyAlignment="1">
      <alignment horizontal="center" vertical="center" wrapText="1"/>
    </xf>
    <xf numFmtId="0" fontId="23" fillId="6" borderId="33" xfId="2" applyFont="1" applyFill="1" applyBorder="1" applyAlignment="1">
      <alignment horizontal="center" vertical="center" wrapText="1"/>
    </xf>
    <xf numFmtId="9" fontId="17" fillId="6" borderId="37" xfId="1" applyFont="1" applyFill="1" applyBorder="1" applyAlignment="1">
      <alignment horizontal="center" vertical="center"/>
    </xf>
    <xf numFmtId="9" fontId="17" fillId="6" borderId="23" xfId="1" applyFont="1" applyFill="1" applyBorder="1" applyAlignment="1">
      <alignment horizontal="center" vertical="center"/>
    </xf>
    <xf numFmtId="9" fontId="17" fillId="6" borderId="33" xfId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17" fillId="4" borderId="16" xfId="2" applyFill="1" applyBorder="1" applyAlignment="1">
      <alignment horizontal="center" vertical="center"/>
    </xf>
    <xf numFmtId="9" fontId="17" fillId="6" borderId="50" xfId="1" applyFont="1" applyFill="1" applyBorder="1" applyAlignment="1">
      <alignment horizontal="center" vertical="center"/>
    </xf>
    <xf numFmtId="0" fontId="17" fillId="5" borderId="0" xfId="2" applyFill="1" applyBorder="1"/>
    <xf numFmtId="0" fontId="17" fillId="5" borderId="12" xfId="2" applyFill="1" applyBorder="1"/>
    <xf numFmtId="0" fontId="17" fillId="5" borderId="13" xfId="2" applyFill="1" applyBorder="1"/>
    <xf numFmtId="0" fontId="17" fillId="5" borderId="15" xfId="2" applyFill="1" applyBorder="1"/>
    <xf numFmtId="0" fontId="17" fillId="5" borderId="16" xfId="2" applyFill="1" applyBorder="1"/>
    <xf numFmtId="0" fontId="20" fillId="5" borderId="0" xfId="2" applyFont="1" applyFill="1" applyBorder="1" applyAlignment="1">
      <alignment horizontal="center" vertical="center"/>
    </xf>
    <xf numFmtId="0" fontId="17" fillId="5" borderId="15" xfId="2" applyFill="1" applyBorder="1" applyAlignment="1">
      <alignment horizontal="left" vertical="center" indent="1"/>
    </xf>
    <xf numFmtId="0" fontId="21" fillId="5" borderId="0" xfId="2" applyFont="1" applyFill="1" applyBorder="1" applyAlignment="1">
      <alignment horizontal="left" vertical="center" indent="1"/>
    </xf>
    <xf numFmtId="0" fontId="17" fillId="5" borderId="16" xfId="2" applyFill="1" applyBorder="1" applyAlignment="1">
      <alignment horizontal="left" vertical="center" indent="1"/>
    </xf>
    <xf numFmtId="9" fontId="17" fillId="5" borderId="16" xfId="1" applyFont="1" applyFill="1" applyBorder="1" applyAlignment="1">
      <alignment horizontal="center" vertical="center"/>
    </xf>
    <xf numFmtId="0" fontId="21" fillId="4" borderId="0" xfId="2" applyFont="1" applyFill="1" applyBorder="1"/>
    <xf numFmtId="0" fontId="23" fillId="6" borderId="51" xfId="2" applyFont="1" applyFill="1" applyBorder="1" applyAlignment="1">
      <alignment horizontal="center" vertical="center" wrapText="1"/>
    </xf>
    <xf numFmtId="0" fontId="15" fillId="6" borderId="27" xfId="2" applyFont="1" applyFill="1" applyBorder="1" applyAlignment="1">
      <alignment horizontal="center" vertical="center"/>
    </xf>
    <xf numFmtId="0" fontId="15" fillId="6" borderId="21" xfId="2" applyFont="1" applyFill="1" applyBorder="1" applyAlignment="1">
      <alignment horizontal="center" vertical="center"/>
    </xf>
    <xf numFmtId="0" fontId="15" fillId="6" borderId="23" xfId="2" applyFont="1" applyFill="1" applyBorder="1" applyAlignment="1">
      <alignment horizontal="center" vertical="center"/>
    </xf>
    <xf numFmtId="0" fontId="15" fillId="6" borderId="52" xfId="2" applyFont="1" applyFill="1" applyBorder="1" applyAlignment="1">
      <alignment horizontal="center" vertical="center"/>
    </xf>
    <xf numFmtId="0" fontId="20" fillId="6" borderId="25" xfId="2" applyFont="1" applyFill="1" applyBorder="1" applyAlignment="1">
      <alignment horizontal="center" vertical="center"/>
    </xf>
    <xf numFmtId="9" fontId="17" fillId="5" borderId="0" xfId="1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center" vertical="center"/>
    </xf>
    <xf numFmtId="0" fontId="17" fillId="5" borderId="0" xfId="2" applyFill="1" applyBorder="1" applyAlignment="1">
      <alignment horizontal="center" vertical="center"/>
    </xf>
    <xf numFmtId="0" fontId="20" fillId="6" borderId="27" xfId="2" applyFont="1" applyFill="1" applyBorder="1" applyAlignment="1">
      <alignment horizontal="center" vertical="center"/>
    </xf>
    <xf numFmtId="0" fontId="22" fillId="5" borderId="0" xfId="2" applyFont="1" applyFill="1" applyBorder="1"/>
    <xf numFmtId="0" fontId="17" fillId="8" borderId="16" xfId="2" applyFill="1" applyBorder="1" applyAlignment="1">
      <alignment horizontal="center" vertical="center"/>
    </xf>
    <xf numFmtId="0" fontId="12" fillId="9" borderId="55" xfId="2" applyFont="1" applyFill="1" applyBorder="1" applyAlignment="1">
      <alignment horizontal="center" vertical="center"/>
    </xf>
    <xf numFmtId="0" fontId="13" fillId="9" borderId="27" xfId="2" applyFont="1" applyFill="1" applyBorder="1" applyAlignment="1">
      <alignment horizontal="center" vertical="center"/>
    </xf>
    <xf numFmtId="0" fontId="17" fillId="6" borderId="57" xfId="2" applyFill="1" applyBorder="1" applyAlignment="1">
      <alignment horizontal="center" vertical="center"/>
    </xf>
    <xf numFmtId="0" fontId="13" fillId="8" borderId="27" xfId="2" applyFont="1" applyFill="1" applyBorder="1" applyAlignment="1">
      <alignment horizontal="center" vertical="center"/>
    </xf>
    <xf numFmtId="0" fontId="17" fillId="5" borderId="0" xfId="2" applyFill="1"/>
    <xf numFmtId="0" fontId="28" fillId="5" borderId="0" xfId="2" applyFont="1" applyFill="1" applyBorder="1" applyAlignment="1">
      <alignment horizontal="left" vertical="center" wrapText="1"/>
    </xf>
    <xf numFmtId="0" fontId="9" fillId="6" borderId="33" xfId="2" applyFont="1" applyFill="1" applyBorder="1" applyAlignment="1">
      <alignment horizontal="center" vertical="center"/>
    </xf>
    <xf numFmtId="0" fontId="17" fillId="5" borderId="0" xfId="2" applyFill="1" applyAlignment="1">
      <alignment horizontal="left" vertical="center" indent="1"/>
    </xf>
    <xf numFmtId="0" fontId="20" fillId="5" borderId="0" xfId="2" applyFont="1" applyFill="1" applyAlignment="1">
      <alignment horizontal="right" vertical="center"/>
    </xf>
    <xf numFmtId="0" fontId="25" fillId="5" borderId="0" xfId="2" applyFont="1" applyFill="1" applyBorder="1" applyAlignment="1">
      <alignment vertical="center" wrapText="1"/>
    </xf>
    <xf numFmtId="166" fontId="20" fillId="5" borderId="0" xfId="1" applyNumberFormat="1" applyFont="1" applyFill="1" applyBorder="1" applyAlignment="1">
      <alignment horizontal="center" vertical="center"/>
    </xf>
    <xf numFmtId="0" fontId="17" fillId="7" borderId="14" xfId="2" applyFill="1" applyBorder="1"/>
    <xf numFmtId="0" fontId="17" fillId="7" borderId="15" xfId="2" applyFill="1" applyBorder="1"/>
    <xf numFmtId="0" fontId="17" fillId="7" borderId="16" xfId="2" applyFill="1" applyBorder="1"/>
    <xf numFmtId="0" fontId="17" fillId="7" borderId="31" xfId="2" applyFill="1" applyBorder="1"/>
    <xf numFmtId="0" fontId="17" fillId="7" borderId="35" xfId="2" applyFill="1" applyBorder="1"/>
    <xf numFmtId="10" fontId="17" fillId="3" borderId="26" xfId="1" applyNumberFormat="1" applyFont="1" applyFill="1" applyBorder="1" applyAlignment="1">
      <alignment horizontal="center" vertical="center"/>
    </xf>
    <xf numFmtId="10" fontId="20" fillId="6" borderId="34" xfId="1" applyNumberFormat="1" applyFont="1" applyFill="1" applyBorder="1" applyAlignment="1">
      <alignment horizontal="center" vertical="center"/>
    </xf>
    <xf numFmtId="10" fontId="17" fillId="3" borderId="33" xfId="1" applyNumberFormat="1" applyFont="1" applyFill="1" applyBorder="1" applyAlignment="1">
      <alignment horizontal="center" vertical="center"/>
    </xf>
    <xf numFmtId="10" fontId="20" fillId="6" borderId="33" xfId="1" applyNumberFormat="1" applyFont="1" applyFill="1" applyBorder="1" applyAlignment="1">
      <alignment horizontal="center" vertical="center"/>
    </xf>
    <xf numFmtId="0" fontId="25" fillId="5" borderId="0" xfId="2" applyFont="1" applyFill="1" applyBorder="1" applyAlignment="1">
      <alignment horizontal="left" wrapText="1"/>
    </xf>
    <xf numFmtId="0" fontId="17" fillId="5" borderId="0" xfId="2" applyFill="1" applyAlignment="1">
      <alignment horizontal="left"/>
    </xf>
    <xf numFmtId="0" fontId="29" fillId="5" borderId="13" xfId="2" applyFont="1" applyFill="1" applyBorder="1" applyAlignment="1">
      <alignment vertical="center"/>
    </xf>
    <xf numFmtId="0" fontId="17" fillId="9" borderId="0" xfId="2" applyFill="1"/>
    <xf numFmtId="0" fontId="25" fillId="4" borderId="16" xfId="2" applyFont="1" applyFill="1" applyBorder="1" applyAlignment="1">
      <alignment wrapText="1"/>
    </xf>
    <xf numFmtId="0" fontId="25" fillId="4" borderId="35" xfId="2" applyFont="1" applyFill="1" applyBorder="1" applyAlignment="1">
      <alignment wrapText="1"/>
    </xf>
    <xf numFmtId="10" fontId="17" fillId="3" borderId="23" xfId="1" applyNumberFormat="1" applyFont="1" applyFill="1" applyBorder="1" applyAlignment="1">
      <alignment horizontal="center" vertical="center"/>
    </xf>
    <xf numFmtId="10" fontId="17" fillId="3" borderId="37" xfId="1" applyNumberFormat="1" applyFont="1" applyFill="1" applyBorder="1" applyAlignment="1">
      <alignment horizontal="center" vertical="center"/>
    </xf>
    <xf numFmtId="10" fontId="17" fillId="3" borderId="25" xfId="1" applyNumberFormat="1" applyFont="1" applyFill="1" applyBorder="1" applyAlignment="1">
      <alignment horizontal="center" vertical="center"/>
    </xf>
    <xf numFmtId="10" fontId="17" fillId="3" borderId="35" xfId="1" applyNumberFormat="1" applyFont="1" applyFill="1" applyBorder="1" applyAlignment="1">
      <alignment horizontal="center" vertical="center"/>
    </xf>
    <xf numFmtId="0" fontId="8" fillId="7" borderId="12" xfId="2" applyFont="1" applyFill="1" applyBorder="1" applyAlignment="1">
      <alignment vertical="top"/>
    </xf>
    <xf numFmtId="0" fontId="20" fillId="5" borderId="0" xfId="2" applyFont="1" applyFill="1" applyBorder="1" applyAlignment="1">
      <alignment vertical="center"/>
    </xf>
    <xf numFmtId="0" fontId="38" fillId="5" borderId="0" xfId="2" applyFont="1" applyFill="1" applyBorder="1" applyAlignment="1">
      <alignment vertical="center" wrapText="1"/>
    </xf>
    <xf numFmtId="0" fontId="7" fillId="5" borderId="14" xfId="2" applyFont="1" applyFill="1" applyBorder="1" applyAlignment="1">
      <alignment horizontal="right" vertical="top"/>
    </xf>
    <xf numFmtId="0" fontId="7" fillId="6" borderId="23" xfId="2" applyFont="1" applyFill="1" applyBorder="1" applyAlignment="1">
      <alignment horizontal="center" vertical="center"/>
    </xf>
    <xf numFmtId="0" fontId="7" fillId="6" borderId="33" xfId="2" applyFont="1" applyFill="1" applyBorder="1" applyAlignment="1">
      <alignment horizontal="center" vertical="center"/>
    </xf>
    <xf numFmtId="3" fontId="17" fillId="3" borderId="23" xfId="2" applyNumberFormat="1" applyFill="1" applyBorder="1" applyAlignment="1">
      <alignment horizontal="center" vertical="center"/>
    </xf>
    <xf numFmtId="3" fontId="17" fillId="3" borderId="25" xfId="2" applyNumberFormat="1" applyFill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left"/>
    </xf>
    <xf numFmtId="0" fontId="40" fillId="0" borderId="12" xfId="0" applyFont="1" applyBorder="1"/>
    <xf numFmtId="0" fontId="40" fillId="0" borderId="14" xfId="0" applyFont="1" applyBorder="1"/>
    <xf numFmtId="0" fontId="40" fillId="0" borderId="15" xfId="0" applyFont="1" applyBorder="1"/>
    <xf numFmtId="0" fontId="40" fillId="0" borderId="27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6" xfId="0" applyFont="1" applyBorder="1"/>
    <xf numFmtId="0" fontId="40" fillId="0" borderId="24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3" fontId="40" fillId="0" borderId="26" xfId="0" applyNumberFormat="1" applyFont="1" applyBorder="1" applyAlignment="1">
      <alignment horizontal="center"/>
    </xf>
    <xf numFmtId="0" fontId="40" fillId="0" borderId="24" xfId="0" applyFont="1" applyBorder="1"/>
    <xf numFmtId="3" fontId="40" fillId="0" borderId="24" xfId="0" applyNumberFormat="1" applyFont="1" applyBorder="1" applyAlignment="1">
      <alignment horizontal="center"/>
    </xf>
    <xf numFmtId="3" fontId="40" fillId="0" borderId="25" xfId="0" applyNumberFormat="1" applyFont="1" applyBorder="1" applyAlignment="1">
      <alignment horizontal="center"/>
    </xf>
    <xf numFmtId="0" fontId="40" fillId="0" borderId="25" xfId="0" applyFont="1" applyBorder="1"/>
    <xf numFmtId="0" fontId="40" fillId="0" borderId="25" xfId="0" applyFont="1" applyBorder="1" applyAlignment="1">
      <alignment horizontal="center"/>
    </xf>
    <xf numFmtId="10" fontId="40" fillId="0" borderId="0" xfId="0" applyNumberFormat="1" applyFont="1"/>
    <xf numFmtId="0" fontId="41" fillId="0" borderId="0" xfId="0" applyFont="1"/>
    <xf numFmtId="0" fontId="40" fillId="0" borderId="0" xfId="0" applyFont="1" applyBorder="1"/>
    <xf numFmtId="0" fontId="40" fillId="0" borderId="17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3" fontId="40" fillId="0" borderId="17" xfId="0" applyNumberFormat="1" applyFont="1" applyBorder="1" applyAlignment="1">
      <alignment horizontal="center" vertical="center"/>
    </xf>
    <xf numFmtId="9" fontId="40" fillId="0" borderId="17" xfId="0" applyNumberFormat="1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6" borderId="26" xfId="0" applyFont="1" applyFill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3" xfId="0" applyFont="1" applyFill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6" borderId="59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horizontal="center" vertical="center"/>
    </xf>
    <xf numFmtId="0" fontId="41" fillId="0" borderId="0" xfId="0" applyFont="1" applyBorder="1" applyAlignment="1">
      <alignment vertical="top"/>
    </xf>
    <xf numFmtId="0" fontId="41" fillId="0" borderId="15" xfId="0" applyFont="1" applyBorder="1"/>
    <xf numFmtId="1" fontId="40" fillId="0" borderId="36" xfId="11" applyNumberFormat="1" applyFont="1" applyBorder="1" applyAlignment="1">
      <alignment horizontal="center" vertical="center"/>
    </xf>
    <xf numFmtId="3" fontId="40" fillId="0" borderId="36" xfId="0" applyNumberFormat="1" applyFont="1" applyBorder="1" applyAlignment="1">
      <alignment horizontal="center" vertical="center"/>
    </xf>
    <xf numFmtId="0" fontId="41" fillId="0" borderId="0" xfId="5" applyFont="1"/>
    <xf numFmtId="0" fontId="40" fillId="0" borderId="0" xfId="5" applyFont="1" applyAlignment="1">
      <alignment horizontal="center"/>
    </xf>
    <xf numFmtId="165" fontId="40" fillId="0" borderId="0" xfId="5" applyNumberFormat="1" applyFont="1" applyBorder="1" applyAlignment="1">
      <alignment horizontal="center"/>
    </xf>
    <xf numFmtId="0" fontId="40" fillId="0" borderId="0" xfId="5" applyFont="1"/>
    <xf numFmtId="0" fontId="40" fillId="0" borderId="12" xfId="5" applyFont="1" applyBorder="1"/>
    <xf numFmtId="0" fontId="40" fillId="0" borderId="13" xfId="5" applyFont="1" applyBorder="1" applyAlignment="1">
      <alignment horizontal="center" vertical="center" wrapText="1"/>
    </xf>
    <xf numFmtId="0" fontId="40" fillId="10" borderId="13" xfId="5" applyFont="1" applyFill="1" applyBorder="1" applyAlignment="1">
      <alignment horizontal="center" vertical="center" wrapText="1"/>
    </xf>
    <xf numFmtId="0" fontId="40" fillId="0" borderId="14" xfId="5" applyFont="1" applyBorder="1" applyAlignment="1">
      <alignment horizontal="center" vertical="center" wrapText="1"/>
    </xf>
    <xf numFmtId="0" fontId="40" fillId="0" borderId="15" xfId="5" applyFont="1" applyBorder="1"/>
    <xf numFmtId="0" fontId="40" fillId="0" borderId="0" xfId="5" applyFont="1" applyBorder="1" applyAlignment="1">
      <alignment horizontal="center"/>
    </xf>
    <xf numFmtId="0" fontId="40" fillId="10" borderId="0" xfId="5" applyFont="1" applyFill="1" applyBorder="1" applyAlignment="1">
      <alignment horizontal="center"/>
    </xf>
    <xf numFmtId="0" fontId="40" fillId="0" borderId="16" xfId="5" applyFont="1" applyBorder="1" applyAlignment="1">
      <alignment horizontal="center"/>
    </xf>
    <xf numFmtId="0" fontId="40" fillId="0" borderId="15" xfId="5" applyFont="1" applyBorder="1" applyAlignment="1">
      <alignment horizontal="right"/>
    </xf>
    <xf numFmtId="165" fontId="40" fillId="10" borderId="0" xfId="5" applyNumberFormat="1" applyFont="1" applyFill="1" applyBorder="1" applyAlignment="1">
      <alignment horizontal="center"/>
    </xf>
    <xf numFmtId="166" fontId="40" fillId="0" borderId="0" xfId="5" applyNumberFormat="1" applyFont="1" applyBorder="1" applyAlignment="1">
      <alignment horizontal="center"/>
    </xf>
    <xf numFmtId="166" fontId="40" fillId="0" borderId="16" xfId="5" applyNumberFormat="1" applyFont="1" applyBorder="1" applyAlignment="1">
      <alignment horizontal="center"/>
    </xf>
    <xf numFmtId="0" fontId="40" fillId="0" borderId="31" xfId="5" applyFont="1" applyBorder="1" applyAlignment="1">
      <alignment horizontal="right"/>
    </xf>
    <xf numFmtId="165" fontId="40" fillId="0" borderId="47" xfId="5" applyNumberFormat="1" applyFont="1" applyBorder="1" applyAlignment="1">
      <alignment horizontal="center"/>
    </xf>
    <xf numFmtId="165" fontId="40" fillId="10" borderId="47" xfId="5" applyNumberFormat="1" applyFont="1" applyFill="1" applyBorder="1" applyAlignment="1">
      <alignment horizontal="center"/>
    </xf>
    <xf numFmtId="165" fontId="40" fillId="0" borderId="35" xfId="5" applyNumberFormat="1" applyFont="1" applyBorder="1" applyAlignment="1">
      <alignment horizontal="center"/>
    </xf>
    <xf numFmtId="0" fontId="40" fillId="0" borderId="0" xfId="5" applyFont="1" applyAlignment="1">
      <alignment horizontal="left"/>
    </xf>
    <xf numFmtId="0" fontId="40" fillId="0" borderId="4" xfId="5" applyFont="1" applyBorder="1" applyAlignment="1">
      <alignment horizontal="left"/>
    </xf>
    <xf numFmtId="165" fontId="40" fillId="0" borderId="5" xfId="5" applyNumberFormat="1" applyFont="1" applyFill="1" applyBorder="1" applyAlignment="1">
      <alignment horizontal="center"/>
    </xf>
    <xf numFmtId="0" fontId="40" fillId="0" borderId="6" xfId="5" applyFont="1" applyBorder="1" applyAlignment="1">
      <alignment horizontal="left"/>
    </xf>
    <xf numFmtId="0" fontId="40" fillId="0" borderId="9" xfId="5" applyFont="1" applyBorder="1" applyAlignment="1">
      <alignment horizontal="left"/>
    </xf>
    <xf numFmtId="165" fontId="40" fillId="0" borderId="10" xfId="5" applyNumberFormat="1" applyFont="1" applyFill="1" applyBorder="1" applyAlignment="1">
      <alignment horizontal="center"/>
    </xf>
    <xf numFmtId="0" fontId="40" fillId="0" borderId="11" xfId="5" applyFont="1" applyBorder="1" applyAlignment="1">
      <alignment horizontal="left"/>
    </xf>
    <xf numFmtId="0" fontId="40" fillId="0" borderId="4" xfId="5" applyFont="1" applyBorder="1"/>
    <xf numFmtId="165" fontId="40" fillId="0" borderId="5" xfId="5" applyNumberFormat="1" applyFont="1" applyBorder="1" applyAlignment="1">
      <alignment horizontal="center"/>
    </xf>
    <xf numFmtId="0" fontId="40" fillId="0" borderId="9" xfId="5" applyFont="1" applyBorder="1"/>
    <xf numFmtId="165" fontId="40" fillId="0" borderId="10" xfId="5" applyNumberFormat="1" applyFont="1" applyBorder="1" applyAlignment="1">
      <alignment horizontal="center"/>
    </xf>
    <xf numFmtId="0" fontId="40" fillId="0" borderId="4" xfId="5" applyFont="1" applyFill="1" applyBorder="1"/>
    <xf numFmtId="0" fontId="40" fillId="0" borderId="0" xfId="5" applyFont="1" applyAlignment="1">
      <alignment horizontal="center" wrapText="1"/>
    </xf>
    <xf numFmtId="0" fontId="40" fillId="0" borderId="9" xfId="5" applyFont="1" applyFill="1" applyBorder="1"/>
    <xf numFmtId="0" fontId="40" fillId="0" borderId="0" xfId="5" applyFont="1" applyFill="1" applyBorder="1"/>
    <xf numFmtId="165" fontId="40" fillId="0" borderId="0" xfId="5" applyNumberFormat="1" applyFont="1" applyAlignment="1">
      <alignment horizontal="center"/>
    </xf>
    <xf numFmtId="0" fontId="40" fillId="0" borderId="7" xfId="5" applyFont="1" applyFill="1" applyBorder="1"/>
    <xf numFmtId="171" fontId="40" fillId="0" borderId="11" xfId="5" applyNumberFormat="1" applyFont="1" applyBorder="1" applyAlignment="1">
      <alignment horizontal="center"/>
    </xf>
    <xf numFmtId="0" fontId="40" fillId="0" borderId="0" xfId="5" applyFont="1" applyBorder="1"/>
    <xf numFmtId="3" fontId="40" fillId="0" borderId="0" xfId="5" applyNumberFormat="1" applyFont="1" applyBorder="1"/>
    <xf numFmtId="0" fontId="40" fillId="0" borderId="0" xfId="5" applyFont="1" applyAlignment="1">
      <alignment horizontal="left" vertical="center"/>
    </xf>
    <xf numFmtId="0" fontId="41" fillId="0" borderId="27" xfId="5" applyFont="1" applyBorder="1"/>
    <xf numFmtId="0" fontId="40" fillId="0" borderId="21" xfId="5" applyFont="1" applyBorder="1" applyAlignment="1">
      <alignment horizontal="center"/>
    </xf>
    <xf numFmtId="0" fontId="42" fillId="0" borderId="24" xfId="5" applyFont="1" applyBorder="1"/>
    <xf numFmtId="0" fontId="40" fillId="0" borderId="30" xfId="5" applyFont="1" applyBorder="1" applyAlignment="1">
      <alignment horizontal="center" wrapText="1"/>
    </xf>
    <xf numFmtId="0" fontId="40" fillId="0" borderId="18" xfId="5" applyFont="1" applyBorder="1" applyAlignment="1">
      <alignment horizontal="center"/>
    </xf>
    <xf numFmtId="0" fontId="40" fillId="0" borderId="24" xfId="5" applyFont="1" applyBorder="1"/>
    <xf numFmtId="0" fontId="40" fillId="0" borderId="25" xfId="5" applyFont="1" applyBorder="1"/>
    <xf numFmtId="0" fontId="41" fillId="0" borderId="12" xfId="5" applyFont="1" applyBorder="1"/>
    <xf numFmtId="165" fontId="40" fillId="0" borderId="24" xfId="5" applyNumberFormat="1" applyFont="1" applyBorder="1" applyAlignment="1">
      <alignment horizontal="center"/>
    </xf>
    <xf numFmtId="170" fontId="40" fillId="0" borderId="24" xfId="5" applyNumberFormat="1" applyFont="1" applyBorder="1" applyAlignment="1">
      <alignment horizontal="center"/>
    </xf>
    <xf numFmtId="0" fontId="40" fillId="0" borderId="31" xfId="5" applyFont="1" applyFill="1" applyBorder="1"/>
    <xf numFmtId="165" fontId="40" fillId="0" borderId="25" xfId="5" applyNumberFormat="1" applyFont="1" applyBorder="1" applyAlignment="1">
      <alignment horizontal="center"/>
    </xf>
    <xf numFmtId="0" fontId="41" fillId="0" borderId="20" xfId="5" applyFont="1" applyBorder="1"/>
    <xf numFmtId="164" fontId="40" fillId="0" borderId="22" xfId="5" applyNumberFormat="1" applyFont="1" applyBorder="1" applyAlignment="1">
      <alignment horizontal="center"/>
    </xf>
    <xf numFmtId="0" fontId="40" fillId="0" borderId="21" xfId="5" applyFont="1" applyBorder="1" applyAlignment="1">
      <alignment horizontal="center" wrapText="1"/>
    </xf>
    <xf numFmtId="0" fontId="40" fillId="0" borderId="76" xfId="5" applyFont="1" applyBorder="1" applyAlignment="1">
      <alignment horizontal="center"/>
    </xf>
    <xf numFmtId="2" fontId="40" fillId="0" borderId="8" xfId="5" applyNumberFormat="1" applyFont="1" applyBorder="1" applyAlignment="1">
      <alignment horizontal="center"/>
    </xf>
    <xf numFmtId="2" fontId="40" fillId="0" borderId="2" xfId="5" applyNumberFormat="1" applyFont="1" applyBorder="1" applyAlignment="1">
      <alignment horizontal="center"/>
    </xf>
    <xf numFmtId="2" fontId="40" fillId="0" borderId="42" xfId="5" applyNumberFormat="1" applyFont="1" applyBorder="1" applyAlignment="1">
      <alignment horizontal="center"/>
    </xf>
    <xf numFmtId="0" fontId="40" fillId="0" borderId="26" xfId="5" applyFont="1" applyBorder="1" applyAlignment="1">
      <alignment horizontal="center" vertical="center"/>
    </xf>
    <xf numFmtId="0" fontId="40" fillId="3" borderId="30" xfId="5" applyFont="1" applyFill="1" applyBorder="1" applyAlignment="1">
      <alignment horizontal="center" wrapText="1"/>
    </xf>
    <xf numFmtId="2" fontId="40" fillId="3" borderId="8" xfId="5" applyNumberFormat="1" applyFont="1" applyFill="1" applyBorder="1" applyAlignment="1">
      <alignment horizontal="center"/>
    </xf>
    <xf numFmtId="2" fontId="40" fillId="3" borderId="42" xfId="5" applyNumberFormat="1" applyFont="1" applyFill="1" applyBorder="1" applyAlignment="1">
      <alignment horizontal="center"/>
    </xf>
    <xf numFmtId="0" fontId="40" fillId="3" borderId="37" xfId="5" applyFont="1" applyFill="1" applyBorder="1" applyAlignment="1">
      <alignment horizontal="center" wrapText="1"/>
    </xf>
    <xf numFmtId="2" fontId="40" fillId="3" borderId="43" xfId="5" applyNumberFormat="1" applyFont="1" applyFill="1" applyBorder="1" applyAlignment="1">
      <alignment horizontal="center"/>
    </xf>
    <xf numFmtId="0" fontId="40" fillId="0" borderId="0" xfId="5" applyFont="1" applyBorder="1" applyAlignment="1">
      <alignment horizontal="center" vertical="center"/>
    </xf>
    <xf numFmtId="169" fontId="40" fillId="3" borderId="8" xfId="5" applyNumberFormat="1" applyFont="1" applyFill="1" applyBorder="1" applyAlignment="1">
      <alignment horizontal="center"/>
    </xf>
    <xf numFmtId="164" fontId="40" fillId="3" borderId="16" xfId="5" applyNumberFormat="1" applyFont="1" applyFill="1" applyBorder="1" applyAlignment="1">
      <alignment horizontal="center"/>
    </xf>
    <xf numFmtId="169" fontId="40" fillId="3" borderId="16" xfId="5" applyNumberFormat="1" applyFont="1" applyFill="1" applyBorder="1" applyAlignment="1">
      <alignment horizontal="center"/>
    </xf>
    <xf numFmtId="0" fontId="40" fillId="3" borderId="14" xfId="5" applyFont="1" applyFill="1" applyBorder="1" applyAlignment="1">
      <alignment horizontal="center" vertical="center" wrapText="1"/>
    </xf>
    <xf numFmtId="165" fontId="40" fillId="3" borderId="16" xfId="5" applyNumberFormat="1" applyFont="1" applyFill="1" applyBorder="1" applyAlignment="1">
      <alignment horizontal="center"/>
    </xf>
    <xf numFmtId="165" fontId="40" fillId="3" borderId="35" xfId="5" applyNumberFormat="1" applyFont="1" applyFill="1" applyBorder="1" applyAlignment="1">
      <alignment horizontal="center"/>
    </xf>
    <xf numFmtId="0" fontId="40" fillId="0" borderId="22" xfId="5" applyFont="1" applyBorder="1" applyAlignment="1">
      <alignment horizontal="center" wrapText="1"/>
    </xf>
    <xf numFmtId="164" fontId="40" fillId="3" borderId="27" xfId="5" applyNumberFormat="1" applyFont="1" applyFill="1" applyBorder="1" applyAlignment="1">
      <alignment horizontal="center"/>
    </xf>
    <xf numFmtId="0" fontId="40" fillId="0" borderId="24" xfId="5" applyFont="1" applyBorder="1" applyAlignment="1">
      <alignment horizontal="center"/>
    </xf>
    <xf numFmtId="2" fontId="40" fillId="3" borderId="27" xfId="5" applyNumberFormat="1" applyFont="1" applyFill="1" applyBorder="1" applyAlignment="1">
      <alignment horizontal="center"/>
    </xf>
    <xf numFmtId="0" fontId="41" fillId="0" borderId="0" xfId="0" applyFont="1" applyAlignment="1">
      <alignment vertical="center"/>
    </xf>
    <xf numFmtId="164" fontId="40" fillId="3" borderId="2" xfId="5" applyNumberFormat="1" applyFont="1" applyFill="1" applyBorder="1" applyAlignment="1">
      <alignment horizontal="center"/>
    </xf>
    <xf numFmtId="164" fontId="40" fillId="3" borderId="0" xfId="5" applyNumberFormat="1" applyFont="1" applyFill="1" applyBorder="1" applyAlignment="1">
      <alignment horizontal="center"/>
    </xf>
    <xf numFmtId="164" fontId="40" fillId="3" borderId="7" xfId="5" applyNumberFormat="1" applyFont="1" applyFill="1" applyBorder="1" applyAlignment="1">
      <alignment horizontal="center"/>
    </xf>
    <xf numFmtId="164" fontId="40" fillId="3" borderId="1" xfId="5" applyNumberFormat="1" applyFont="1" applyFill="1" applyBorder="1" applyAlignment="1">
      <alignment horizontal="center"/>
    </xf>
    <xf numFmtId="164" fontId="40" fillId="3" borderId="61" xfId="5" applyNumberFormat="1" applyFont="1" applyFill="1" applyBorder="1" applyAlignment="1">
      <alignment horizontal="center"/>
    </xf>
    <xf numFmtId="164" fontId="40" fillId="3" borderId="74" xfId="5" applyNumberFormat="1" applyFont="1" applyFill="1" applyBorder="1" applyAlignment="1">
      <alignment horizontal="center"/>
    </xf>
    <xf numFmtId="164" fontId="40" fillId="3" borderId="64" xfId="5" applyNumberFormat="1" applyFont="1" applyFill="1" applyBorder="1" applyAlignment="1">
      <alignment horizontal="center"/>
    </xf>
    <xf numFmtId="164" fontId="40" fillId="3" borderId="32" xfId="5" applyNumberFormat="1" applyFont="1" applyFill="1" applyBorder="1" applyAlignment="1">
      <alignment horizontal="center"/>
    </xf>
    <xf numFmtId="0" fontId="41" fillId="0" borderId="78" xfId="5" applyFont="1" applyFill="1" applyBorder="1" applyAlignment="1">
      <alignment horizontal="center"/>
    </xf>
    <xf numFmtId="0" fontId="40" fillId="0" borderId="29" xfId="5" applyFont="1" applyFill="1" applyBorder="1" applyAlignment="1">
      <alignment horizontal="right"/>
    </xf>
    <xf numFmtId="0" fontId="40" fillId="0" borderId="15" xfId="5" applyFont="1" applyFill="1" applyBorder="1" applyAlignment="1">
      <alignment horizontal="right"/>
    </xf>
    <xf numFmtId="10" fontId="41" fillId="0" borderId="79" xfId="1" applyNumberFormat="1" applyFont="1" applyFill="1" applyBorder="1" applyAlignment="1">
      <alignment horizontal="center"/>
    </xf>
    <xf numFmtId="0" fontId="40" fillId="0" borderId="60" xfId="5" applyFont="1" applyFill="1" applyBorder="1" applyAlignment="1">
      <alignment horizontal="right"/>
    </xf>
    <xf numFmtId="0" fontId="40" fillId="0" borderId="17" xfId="5" applyFont="1" applyFill="1" applyBorder="1" applyAlignment="1">
      <alignment horizontal="center" vertical="center"/>
    </xf>
    <xf numFmtId="0" fontId="40" fillId="0" borderId="72" xfId="5" applyFont="1" applyFill="1" applyBorder="1" applyAlignment="1">
      <alignment horizontal="center" vertical="center"/>
    </xf>
    <xf numFmtId="0" fontId="40" fillId="0" borderId="3" xfId="5" applyFont="1" applyFill="1" applyBorder="1" applyAlignment="1">
      <alignment horizontal="center" vertical="center" wrapText="1"/>
    </xf>
    <xf numFmtId="0" fontId="40" fillId="0" borderId="49" xfId="0" applyFont="1" applyBorder="1"/>
    <xf numFmtId="0" fontId="40" fillId="0" borderId="21" xfId="0" applyFont="1" applyBorder="1" applyAlignment="1">
      <alignment horizontal="center" vertical="center"/>
    </xf>
    <xf numFmtId="0" fontId="40" fillId="0" borderId="78" xfId="0" applyFont="1" applyBorder="1" applyAlignment="1">
      <alignment horizontal="center" vertical="center"/>
    </xf>
    <xf numFmtId="0" fontId="40" fillId="0" borderId="12" xfId="0" applyFont="1" applyBorder="1" applyAlignment="1">
      <alignment horizontal="right" vertical="center"/>
    </xf>
    <xf numFmtId="0" fontId="41" fillId="0" borderId="12" xfId="0" applyFont="1" applyBorder="1" applyAlignment="1">
      <alignment horizontal="center" vertical="center"/>
    </xf>
    <xf numFmtId="3" fontId="40" fillId="0" borderId="14" xfId="0" applyNumberFormat="1" applyFont="1" applyBorder="1" applyAlignment="1">
      <alignment horizontal="center" vertical="center"/>
    </xf>
    <xf numFmtId="2" fontId="40" fillId="0" borderId="16" xfId="0" applyNumberFormat="1" applyFont="1" applyBorder="1" applyAlignment="1">
      <alignment horizontal="center" vertical="center"/>
    </xf>
    <xf numFmtId="2" fontId="40" fillId="0" borderId="35" xfId="0" applyNumberFormat="1" applyFont="1" applyBorder="1" applyAlignment="1">
      <alignment horizontal="center" vertical="center"/>
    </xf>
    <xf numFmtId="3" fontId="40" fillId="0" borderId="49" xfId="11" applyNumberFormat="1" applyFont="1" applyBorder="1" applyAlignment="1">
      <alignment horizontal="center" vertical="center"/>
    </xf>
    <xf numFmtId="2" fontId="40" fillId="0" borderId="29" xfId="0" applyNumberFormat="1" applyFont="1" applyBorder="1" applyAlignment="1">
      <alignment horizontal="center" vertical="center"/>
    </xf>
    <xf numFmtId="2" fontId="40" fillId="0" borderId="41" xfId="0" applyNumberFormat="1" applyFont="1" applyBorder="1" applyAlignment="1">
      <alignment horizontal="center" vertical="center"/>
    </xf>
    <xf numFmtId="0" fontId="40" fillId="0" borderId="15" xfId="0" applyFont="1" applyBorder="1" applyAlignment="1">
      <alignment horizontal="right" vertical="center"/>
    </xf>
    <xf numFmtId="0" fontId="40" fillId="0" borderId="31" xfId="0" applyFont="1" applyBorder="1" applyAlignment="1">
      <alignment horizontal="right" vertical="center"/>
    </xf>
    <xf numFmtId="2" fontId="40" fillId="3" borderId="49" xfId="0" applyNumberFormat="1" applyFont="1" applyFill="1" applyBorder="1" applyAlignment="1">
      <alignment horizontal="center" vertical="center"/>
    </xf>
    <xf numFmtId="2" fontId="40" fillId="3" borderId="14" xfId="0" applyNumberFormat="1" applyFont="1" applyFill="1" applyBorder="1" applyAlignment="1">
      <alignment horizontal="center" vertical="center"/>
    </xf>
    <xf numFmtId="2" fontId="40" fillId="3" borderId="41" xfId="0" applyNumberFormat="1" applyFont="1" applyFill="1" applyBorder="1" applyAlignment="1">
      <alignment horizontal="center" vertical="center"/>
    </xf>
    <xf numFmtId="2" fontId="40" fillId="3" borderId="35" xfId="0" applyNumberFormat="1" applyFont="1" applyFill="1" applyBorder="1" applyAlignment="1">
      <alignment horizontal="center" vertical="center"/>
    </xf>
    <xf numFmtId="0" fontId="40" fillId="0" borderId="0" xfId="5" applyFont="1" applyAlignment="1">
      <alignment vertical="center"/>
    </xf>
    <xf numFmtId="0" fontId="44" fillId="0" borderId="0" xfId="0" applyFont="1"/>
    <xf numFmtId="2" fontId="40" fillId="3" borderId="23" xfId="0" applyNumberFormat="1" applyFont="1" applyFill="1" applyBorder="1" applyAlignment="1">
      <alignment horizontal="center" vertical="center"/>
    </xf>
    <xf numFmtId="2" fontId="40" fillId="3" borderId="33" xfId="0" applyNumberFormat="1" applyFont="1" applyFill="1" applyBorder="1" applyAlignment="1">
      <alignment horizontal="center" vertical="center"/>
    </xf>
    <xf numFmtId="0" fontId="40" fillId="3" borderId="26" xfId="0" applyFont="1" applyFill="1" applyBorder="1" applyAlignment="1">
      <alignment horizontal="center"/>
    </xf>
    <xf numFmtId="0" fontId="40" fillId="3" borderId="25" xfId="0" applyFont="1" applyFill="1" applyBorder="1" applyAlignment="1">
      <alignment horizontal="center"/>
    </xf>
    <xf numFmtId="0" fontId="41" fillId="0" borderId="0" xfId="0" applyFont="1" applyBorder="1" applyAlignment="1">
      <alignment vertical="center"/>
    </xf>
    <xf numFmtId="0" fontId="44" fillId="0" borderId="15" xfId="0" applyFont="1" applyBorder="1"/>
    <xf numFmtId="0" fontId="40" fillId="0" borderId="7" xfId="5" applyFont="1" applyBorder="1" applyAlignment="1">
      <alignment vertical="center"/>
    </xf>
    <xf numFmtId="3" fontId="17" fillId="6" borderId="23" xfId="2" applyNumberFormat="1" applyFill="1" applyBorder="1" applyAlignment="1">
      <alignment horizontal="center" vertical="center"/>
    </xf>
    <xf numFmtId="3" fontId="17" fillId="6" borderId="25" xfId="2" applyNumberFormat="1" applyFill="1" applyBorder="1" applyAlignment="1">
      <alignment horizontal="center" vertical="center"/>
    </xf>
    <xf numFmtId="0" fontId="17" fillId="4" borderId="12" xfId="2" applyFill="1" applyBorder="1" applyAlignment="1">
      <alignment horizontal="left" vertical="center" indent="1"/>
    </xf>
    <xf numFmtId="0" fontId="31" fillId="4" borderId="13" xfId="0" applyFont="1" applyFill="1" applyBorder="1"/>
    <xf numFmtId="0" fontId="17" fillId="4" borderId="13" xfId="2" applyFill="1" applyBorder="1" applyAlignment="1">
      <alignment horizontal="left" vertical="center" indent="1"/>
    </xf>
    <xf numFmtId="0" fontId="17" fillId="4" borderId="14" xfId="2" applyFill="1" applyBorder="1" applyAlignment="1">
      <alignment horizontal="left" vertical="center" indent="1"/>
    </xf>
    <xf numFmtId="0" fontId="17" fillId="5" borderId="0" xfId="2" applyFill="1" applyBorder="1" applyAlignment="1">
      <alignment vertical="top"/>
    </xf>
    <xf numFmtId="0" fontId="21" fillId="5" borderId="0" xfId="2" applyFont="1" applyFill="1" applyBorder="1" applyAlignment="1">
      <alignment horizontal="left" vertical="top" indent="1"/>
    </xf>
    <xf numFmtId="0" fontId="20" fillId="5" borderId="0" xfId="2" applyFont="1" applyFill="1" applyAlignment="1">
      <alignment horizontal="right" vertical="center" indent="1"/>
    </xf>
    <xf numFmtId="9" fontId="17" fillId="3" borderId="51" xfId="1" applyNumberFormat="1" applyFont="1" applyFill="1" applyBorder="1" applyAlignment="1">
      <alignment horizontal="center" vertical="center"/>
    </xf>
    <xf numFmtId="9" fontId="17" fillId="3" borderId="33" xfId="1" applyNumberFormat="1" applyFont="1" applyFill="1" applyBorder="1" applyAlignment="1">
      <alignment horizontal="center" vertical="center"/>
    </xf>
    <xf numFmtId="0" fontId="40" fillId="0" borderId="65" xfId="5" applyFont="1" applyBorder="1" applyAlignment="1">
      <alignment horizontal="center"/>
    </xf>
    <xf numFmtId="2" fontId="40" fillId="0" borderId="29" xfId="5" applyNumberFormat="1" applyFont="1" applyBorder="1" applyAlignment="1">
      <alignment horizontal="center"/>
    </xf>
    <xf numFmtId="2" fontId="40" fillId="3" borderId="16" xfId="5" applyNumberFormat="1" applyFont="1" applyFill="1" applyBorder="1" applyAlignment="1">
      <alignment horizontal="center"/>
    </xf>
    <xf numFmtId="2" fontId="40" fillId="0" borderId="41" xfId="5" applyNumberFormat="1" applyFont="1" applyBorder="1" applyAlignment="1">
      <alignment horizontal="center"/>
    </xf>
    <xf numFmtId="0" fontId="40" fillId="0" borderId="21" xfId="5" applyFont="1" applyBorder="1" applyAlignment="1">
      <alignment horizontal="center"/>
    </xf>
    <xf numFmtId="0" fontId="40" fillId="0" borderId="0" xfId="0" applyFont="1" applyFill="1" applyBorder="1"/>
    <xf numFmtId="0" fontId="40" fillId="3" borderId="17" xfId="0" applyFont="1" applyFill="1" applyBorder="1" applyAlignment="1">
      <alignment horizontal="center" vertical="center"/>
    </xf>
    <xf numFmtId="0" fontId="40" fillId="3" borderId="59" xfId="0" applyFont="1" applyFill="1" applyBorder="1" applyAlignment="1">
      <alignment horizontal="center" vertical="center" wrapText="1"/>
    </xf>
    <xf numFmtId="0" fontId="40" fillId="3" borderId="62" xfId="0" applyFont="1" applyFill="1" applyBorder="1" applyAlignment="1">
      <alignment horizontal="center" vertical="center" wrapText="1"/>
    </xf>
    <xf numFmtId="10" fontId="40" fillId="3" borderId="0" xfId="0" applyNumberFormat="1" applyFont="1" applyFill="1" applyBorder="1" applyAlignment="1">
      <alignment horizontal="center" vertical="center"/>
    </xf>
    <xf numFmtId="10" fontId="40" fillId="3" borderId="8" xfId="0" applyNumberFormat="1" applyFont="1" applyFill="1" applyBorder="1" applyAlignment="1">
      <alignment horizontal="center" vertical="center"/>
    </xf>
    <xf numFmtId="10" fontId="40" fillId="3" borderId="16" xfId="0" applyNumberFormat="1" applyFont="1" applyFill="1" applyBorder="1" applyAlignment="1">
      <alignment horizontal="center" vertical="center"/>
    </xf>
    <xf numFmtId="10" fontId="40" fillId="3" borderId="47" xfId="0" applyNumberFormat="1" applyFont="1" applyFill="1" applyBorder="1" applyAlignment="1">
      <alignment horizontal="center" vertical="center"/>
    </xf>
    <xf numFmtId="10" fontId="40" fillId="3" borderId="45" xfId="0" applyNumberFormat="1" applyFont="1" applyFill="1" applyBorder="1" applyAlignment="1">
      <alignment horizontal="center" vertical="center"/>
    </xf>
    <xf numFmtId="10" fontId="40" fillId="3" borderId="35" xfId="0" applyNumberFormat="1" applyFont="1" applyFill="1" applyBorder="1" applyAlignment="1">
      <alignment horizontal="center" vertical="center"/>
    </xf>
    <xf numFmtId="0" fontId="40" fillId="2" borderId="39" xfId="0" applyFont="1" applyFill="1" applyBorder="1" applyAlignment="1">
      <alignment horizontal="left" vertical="center"/>
    </xf>
    <xf numFmtId="0" fontId="40" fillId="2" borderId="40" xfId="0" applyFont="1" applyFill="1" applyBorder="1" applyAlignment="1">
      <alignment horizontal="left" vertical="center"/>
    </xf>
    <xf numFmtId="0" fontId="40" fillId="2" borderId="40" xfId="0" applyFont="1" applyFill="1" applyBorder="1" applyAlignment="1">
      <alignment horizontal="center" vertical="center"/>
    </xf>
    <xf numFmtId="0" fontId="40" fillId="2" borderId="37" xfId="0" applyFont="1" applyFill="1" applyBorder="1" applyAlignment="1">
      <alignment horizontal="left" vertical="center"/>
    </xf>
    <xf numFmtId="0" fontId="40" fillId="2" borderId="60" xfId="0" applyFont="1" applyFill="1" applyBorder="1" applyAlignment="1">
      <alignment horizontal="left" vertical="center"/>
    </xf>
    <xf numFmtId="0" fontId="40" fillId="2" borderId="64" xfId="0" applyFont="1" applyFill="1" applyBorder="1" applyAlignment="1">
      <alignment horizontal="left" vertical="center"/>
    </xf>
    <xf numFmtId="166" fontId="40" fillId="2" borderId="64" xfId="1" applyNumberFormat="1" applyFont="1" applyFill="1" applyBorder="1" applyAlignment="1">
      <alignment horizontal="center" vertical="center"/>
    </xf>
    <xf numFmtId="166" fontId="40" fillId="2" borderId="32" xfId="1" applyNumberFormat="1" applyFont="1" applyFill="1" applyBorder="1" applyAlignment="1">
      <alignment horizontal="right" vertical="center"/>
    </xf>
    <xf numFmtId="0" fontId="41" fillId="3" borderId="58" xfId="0" applyFont="1" applyFill="1" applyBorder="1" applyAlignment="1">
      <alignment horizontal="center" vertical="center"/>
    </xf>
    <xf numFmtId="2" fontId="41" fillId="3" borderId="62" xfId="0" applyNumberFormat="1" applyFont="1" applyFill="1" applyBorder="1" applyAlignment="1">
      <alignment horizontal="center" vertical="center"/>
    </xf>
    <xf numFmtId="0" fontId="40" fillId="0" borderId="2" xfId="0" applyFont="1" applyBorder="1"/>
    <xf numFmtId="0" fontId="40" fillId="0" borderId="3" xfId="0" applyFont="1" applyBorder="1"/>
    <xf numFmtId="0" fontId="41" fillId="6" borderId="27" xfId="0" applyFont="1" applyFill="1" applyBorder="1" applyAlignment="1">
      <alignment horizontal="center" vertical="center"/>
    </xf>
    <xf numFmtId="0" fontId="40" fillId="0" borderId="1" xfId="0" applyFont="1" applyBorder="1"/>
    <xf numFmtId="0" fontId="40" fillId="0" borderId="1" xfId="0" applyFont="1" applyBorder="1" applyAlignment="1">
      <alignment wrapText="1"/>
    </xf>
    <xf numFmtId="0" fontId="40" fillId="0" borderId="2" xfId="0" applyFont="1" applyBorder="1" applyAlignment="1">
      <alignment wrapText="1"/>
    </xf>
    <xf numFmtId="0" fontId="40" fillId="0" borderId="7" xfId="0" applyFont="1" applyBorder="1" applyAlignment="1">
      <alignment wrapText="1"/>
    </xf>
    <xf numFmtId="0" fontId="40" fillId="0" borderId="0" xfId="0" applyFont="1" applyBorder="1" applyAlignment="1">
      <alignment wrapText="1"/>
    </xf>
    <xf numFmtId="0" fontId="40" fillId="0" borderId="8" xfId="0" applyFont="1" applyBorder="1" applyAlignment="1">
      <alignment wrapText="1"/>
    </xf>
    <xf numFmtId="164" fontId="40" fillId="0" borderId="2" xfId="0" applyNumberFormat="1" applyFont="1" applyBorder="1"/>
    <xf numFmtId="164" fontId="40" fillId="0" borderId="7" xfId="0" applyNumberFormat="1" applyFont="1" applyBorder="1"/>
    <xf numFmtId="164" fontId="40" fillId="0" borderId="0" xfId="0" applyNumberFormat="1" applyFont="1" applyBorder="1"/>
    <xf numFmtId="164" fontId="40" fillId="0" borderId="8" xfId="0" applyNumberFormat="1" applyFont="1" applyBorder="1"/>
    <xf numFmtId="164" fontId="40" fillId="0" borderId="3" xfId="0" applyNumberFormat="1" applyFont="1" applyBorder="1"/>
    <xf numFmtId="164" fontId="40" fillId="0" borderId="9" xfId="0" applyNumberFormat="1" applyFont="1" applyBorder="1"/>
    <xf numFmtId="164" fontId="40" fillId="0" borderId="10" xfId="0" applyNumberFormat="1" applyFont="1" applyBorder="1"/>
    <xf numFmtId="164" fontId="40" fillId="0" borderId="11" xfId="0" applyNumberFormat="1" applyFont="1" applyBorder="1"/>
    <xf numFmtId="166" fontId="51" fillId="2" borderId="0" xfId="6" applyNumberFormat="1" applyFont="1" applyFill="1"/>
    <xf numFmtId="166" fontId="51" fillId="2" borderId="16" xfId="1" applyNumberFormat="1" applyFont="1" applyFill="1" applyBorder="1"/>
    <xf numFmtId="166" fontId="46" fillId="2" borderId="0" xfId="5" applyNumberFormat="1" applyFont="1" applyFill="1"/>
    <xf numFmtId="0" fontId="48" fillId="11" borderId="0" xfId="0" applyFont="1" applyFill="1"/>
    <xf numFmtId="0" fontId="40" fillId="11" borderId="0" xfId="0" applyFont="1" applyFill="1"/>
    <xf numFmtId="0" fontId="40" fillId="11" borderId="15" xfId="0" applyFont="1" applyFill="1" applyBorder="1"/>
    <xf numFmtId="0" fontId="38" fillId="6" borderId="21" xfId="2" applyFont="1" applyFill="1" applyBorder="1" applyAlignment="1">
      <alignment horizontal="center" vertical="center" wrapText="1"/>
    </xf>
    <xf numFmtId="0" fontId="25" fillId="6" borderId="20" xfId="2" applyFont="1" applyFill="1" applyBorder="1" applyAlignment="1">
      <alignment horizontal="center" vertical="center" wrapText="1"/>
    </xf>
    <xf numFmtId="0" fontId="46" fillId="3" borderId="39" xfId="5" applyFont="1" applyFill="1" applyBorder="1"/>
    <xf numFmtId="0" fontId="46" fillId="3" borderId="40" xfId="5" applyFont="1" applyFill="1" applyBorder="1"/>
    <xf numFmtId="0" fontId="46" fillId="3" borderId="37" xfId="5" applyFont="1" applyFill="1" applyBorder="1"/>
    <xf numFmtId="0" fontId="46" fillId="3" borderId="60" xfId="5" applyFont="1" applyFill="1" applyBorder="1"/>
    <xf numFmtId="165" fontId="46" fillId="3" borderId="64" xfId="5" applyNumberFormat="1" applyFont="1" applyFill="1" applyBorder="1"/>
    <xf numFmtId="0" fontId="46" fillId="3" borderId="32" xfId="5" applyFont="1" applyFill="1" applyBorder="1"/>
    <xf numFmtId="0" fontId="46" fillId="2" borderId="22" xfId="4" applyNumberFormat="1" applyFont="1" applyFill="1" applyBorder="1"/>
    <xf numFmtId="0" fontId="46" fillId="2" borderId="21" xfId="5" applyFont="1" applyFill="1" applyBorder="1"/>
    <xf numFmtId="0" fontId="46" fillId="2" borderId="20" xfId="5" applyFont="1" applyFill="1" applyBorder="1" applyAlignment="1">
      <alignment horizontal="left"/>
    </xf>
    <xf numFmtId="0" fontId="41" fillId="3" borderId="27" xfId="0" applyFont="1" applyFill="1" applyBorder="1" applyAlignment="1">
      <alignment horizontal="center" vertical="center"/>
    </xf>
    <xf numFmtId="0" fontId="41" fillId="3" borderId="69" xfId="0" applyNumberFormat="1" applyFont="1" applyFill="1" applyBorder="1" applyAlignment="1">
      <alignment horizontal="center" vertical="center"/>
    </xf>
    <xf numFmtId="0" fontId="41" fillId="3" borderId="52" xfId="0" applyNumberFormat="1" applyFont="1" applyFill="1" applyBorder="1" applyAlignment="1">
      <alignment horizontal="center" vertical="center"/>
    </xf>
    <xf numFmtId="0" fontId="41" fillId="3" borderId="33" xfId="0" applyNumberFormat="1" applyFont="1" applyFill="1" applyBorder="1" applyAlignment="1">
      <alignment horizontal="center" vertical="center"/>
    </xf>
    <xf numFmtId="0" fontId="17" fillId="12" borderId="0" xfId="2" applyFill="1"/>
    <xf numFmtId="0" fontId="17" fillId="12" borderId="0" xfId="2" applyFill="1" applyAlignment="1">
      <alignment horizontal="left" vertical="center" indent="1"/>
    </xf>
    <xf numFmtId="0" fontId="17" fillId="12" borderId="0" xfId="2" applyFill="1" applyBorder="1"/>
    <xf numFmtId="164" fontId="6" fillId="12" borderId="0" xfId="2" applyNumberFormat="1" applyFont="1" applyFill="1"/>
    <xf numFmtId="0" fontId="17" fillId="12" borderId="0" xfId="2" applyFill="1" applyAlignment="1">
      <alignment horizontal="center"/>
    </xf>
    <xf numFmtId="0" fontId="16" fillId="12" borderId="0" xfId="2" applyFont="1" applyFill="1"/>
    <xf numFmtId="3" fontId="40" fillId="2" borderId="0" xfId="5" applyNumberFormat="1" applyFont="1" applyFill="1" applyAlignment="1">
      <alignment horizontal="center"/>
    </xf>
    <xf numFmtId="0" fontId="40" fillId="2" borderId="0" xfId="5" applyFont="1" applyFill="1" applyBorder="1"/>
    <xf numFmtId="165" fontId="40" fillId="2" borderId="0" xfId="5" applyNumberFormat="1" applyFont="1" applyFill="1" applyBorder="1" applyAlignment="1">
      <alignment horizontal="center"/>
    </xf>
    <xf numFmtId="165" fontId="40" fillId="2" borderId="47" xfId="5" applyNumberFormat="1" applyFont="1" applyFill="1" applyBorder="1" applyAlignment="1">
      <alignment horizontal="center"/>
    </xf>
    <xf numFmtId="0" fontId="3" fillId="6" borderId="27" xfId="2" applyFont="1" applyFill="1" applyBorder="1" applyAlignment="1">
      <alignment horizontal="center" vertical="center"/>
    </xf>
    <xf numFmtId="0" fontId="41" fillId="11" borderId="0" xfId="0" applyFont="1" applyFill="1"/>
    <xf numFmtId="0" fontId="40" fillId="11" borderId="58" xfId="0" applyFont="1" applyFill="1" applyBorder="1" applyAlignment="1">
      <alignment horizontal="center" vertical="center" wrapText="1"/>
    </xf>
    <xf numFmtId="0" fontId="40" fillId="11" borderId="60" xfId="0" applyFont="1" applyFill="1" applyBorder="1" applyAlignment="1">
      <alignment horizontal="center" vertical="center" wrapText="1"/>
    </xf>
    <xf numFmtId="0" fontId="40" fillId="11" borderId="61" xfId="0" applyFont="1" applyFill="1" applyBorder="1" applyAlignment="1">
      <alignment horizontal="center" vertical="center" wrapText="1"/>
    </xf>
    <xf numFmtId="0" fontId="40" fillId="11" borderId="0" xfId="0" applyFont="1" applyFill="1" applyAlignment="1">
      <alignment horizontal="center" vertical="center" wrapText="1"/>
    </xf>
    <xf numFmtId="0" fontId="40" fillId="11" borderId="15" xfId="0" applyFont="1" applyFill="1" applyBorder="1" applyAlignment="1">
      <alignment horizontal="center" vertical="center"/>
    </xf>
    <xf numFmtId="10" fontId="40" fillId="11" borderId="29" xfId="0" applyNumberFormat="1" applyFont="1" applyFill="1" applyBorder="1" applyAlignment="1">
      <alignment horizontal="center" vertical="center"/>
    </xf>
    <xf numFmtId="10" fontId="40" fillId="11" borderId="0" xfId="0" applyNumberFormat="1" applyFont="1" applyFill="1" applyBorder="1" applyAlignment="1">
      <alignment horizontal="center" vertical="center"/>
    </xf>
    <xf numFmtId="10" fontId="40" fillId="11" borderId="8" xfId="0" applyNumberFormat="1" applyFont="1" applyFill="1" applyBorder="1" applyAlignment="1">
      <alignment horizontal="center" vertical="center"/>
    </xf>
    <xf numFmtId="9" fontId="40" fillId="11" borderId="0" xfId="1" applyFont="1" applyFill="1"/>
    <xf numFmtId="0" fontId="40" fillId="11" borderId="31" xfId="0" applyFont="1" applyFill="1" applyBorder="1" applyAlignment="1">
      <alignment horizontal="center" vertical="center"/>
    </xf>
    <xf numFmtId="10" fontId="40" fillId="11" borderId="41" xfId="0" applyNumberFormat="1" applyFont="1" applyFill="1" applyBorder="1" applyAlignment="1">
      <alignment horizontal="center" vertical="center"/>
    </xf>
    <xf numFmtId="10" fontId="40" fillId="11" borderId="45" xfId="0" applyNumberFormat="1" applyFont="1" applyFill="1" applyBorder="1" applyAlignment="1">
      <alignment horizontal="center" vertical="center"/>
    </xf>
    <xf numFmtId="0" fontId="40" fillId="11" borderId="0" xfId="0" applyFont="1" applyFill="1" applyBorder="1" applyAlignment="1">
      <alignment horizontal="center" vertical="center"/>
    </xf>
    <xf numFmtId="0" fontId="40" fillId="11" borderId="0" xfId="0" applyFont="1" applyFill="1" applyBorder="1"/>
    <xf numFmtId="10" fontId="40" fillId="13" borderId="24" xfId="0" applyNumberFormat="1" applyFont="1" applyFill="1" applyBorder="1" applyAlignment="1">
      <alignment horizontal="center" vertical="center"/>
    </xf>
    <xf numFmtId="10" fontId="40" fillId="13" borderId="25" xfId="0" applyNumberFormat="1" applyFont="1" applyFill="1" applyBorder="1" applyAlignment="1">
      <alignment horizontal="center" vertical="center"/>
    </xf>
    <xf numFmtId="0" fontId="45" fillId="11" borderId="69" xfId="0" applyFont="1" applyFill="1" applyBorder="1" applyAlignment="1">
      <alignment horizontal="center" vertical="center"/>
    </xf>
    <xf numFmtId="0" fontId="41" fillId="11" borderId="0" xfId="0" applyFont="1" applyFill="1" applyAlignment="1">
      <alignment horizontal="center" vertical="center" wrapText="1"/>
    </xf>
    <xf numFmtId="0" fontId="40" fillId="11" borderId="36" xfId="0" applyFont="1" applyFill="1" applyBorder="1" applyAlignment="1">
      <alignment horizontal="center" vertical="center" wrapText="1"/>
    </xf>
    <xf numFmtId="0" fontId="40" fillId="11" borderId="46" xfId="0" applyFont="1" applyFill="1" applyBorder="1" applyAlignment="1">
      <alignment horizontal="center" vertical="center" wrapText="1"/>
    </xf>
    <xf numFmtId="9" fontId="40" fillId="11" borderId="33" xfId="1" applyFont="1" applyFill="1" applyBorder="1" applyAlignment="1">
      <alignment horizontal="center" vertical="center"/>
    </xf>
    <xf numFmtId="9" fontId="40" fillId="11" borderId="25" xfId="1" applyFont="1" applyFill="1" applyBorder="1" applyAlignment="1">
      <alignment horizontal="center" vertical="center"/>
    </xf>
    <xf numFmtId="0" fontId="40" fillId="11" borderId="41" xfId="0" applyFont="1" applyFill="1" applyBorder="1" applyAlignment="1">
      <alignment horizontal="center" vertical="center"/>
    </xf>
    <xf numFmtId="0" fontId="40" fillId="11" borderId="43" xfId="0" applyFont="1" applyFill="1" applyBorder="1" applyAlignment="1">
      <alignment horizontal="center" vertical="center"/>
    </xf>
    <xf numFmtId="0" fontId="40" fillId="11" borderId="45" xfId="0" applyFont="1" applyFill="1" applyBorder="1" applyAlignment="1">
      <alignment horizontal="center" vertical="center"/>
    </xf>
    <xf numFmtId="0" fontId="40" fillId="11" borderId="7" xfId="0" applyFont="1" applyFill="1" applyBorder="1" applyAlignment="1">
      <alignment horizontal="center" vertical="center"/>
    </xf>
    <xf numFmtId="164" fontId="40" fillId="11" borderId="29" xfId="0" applyNumberFormat="1" applyFont="1" applyFill="1" applyBorder="1" applyAlignment="1">
      <alignment horizontal="center" vertical="center"/>
    </xf>
    <xf numFmtId="164" fontId="40" fillId="11" borderId="5" xfId="0" applyNumberFormat="1" applyFont="1" applyFill="1" applyBorder="1" applyAlignment="1">
      <alignment horizontal="center" vertical="center"/>
    </xf>
    <xf numFmtId="164" fontId="40" fillId="11" borderId="44" xfId="0" applyNumberFormat="1" applyFont="1" applyFill="1" applyBorder="1" applyAlignment="1">
      <alignment horizontal="center" vertical="center"/>
    </xf>
    <xf numFmtId="164" fontId="40" fillId="11" borderId="6" xfId="0" applyNumberFormat="1" applyFont="1" applyFill="1" applyBorder="1" applyAlignment="1">
      <alignment horizontal="center" vertical="center"/>
    </xf>
    <xf numFmtId="164" fontId="40" fillId="11" borderId="4" xfId="0" applyNumberFormat="1" applyFont="1" applyFill="1" applyBorder="1" applyAlignment="1">
      <alignment horizontal="center" vertical="center"/>
    </xf>
    <xf numFmtId="0" fontId="40" fillId="11" borderId="0" xfId="0" applyFont="1" applyFill="1" applyAlignment="1">
      <alignment horizontal="center" vertical="center"/>
    </xf>
    <xf numFmtId="0" fontId="40" fillId="11" borderId="24" xfId="0" applyFont="1" applyFill="1" applyBorder="1" applyAlignment="1">
      <alignment horizontal="center" vertical="center"/>
    </xf>
    <xf numFmtId="2" fontId="40" fillId="11" borderId="29" xfId="0" applyNumberFormat="1" applyFont="1" applyFill="1" applyBorder="1" applyAlignment="1">
      <alignment horizontal="center" vertical="center"/>
    </xf>
    <xf numFmtId="2" fontId="40" fillId="11" borderId="53" xfId="0" applyNumberFormat="1" applyFont="1" applyFill="1" applyBorder="1" applyAlignment="1">
      <alignment horizontal="center" vertical="center"/>
    </xf>
    <xf numFmtId="2" fontId="40" fillId="11" borderId="8" xfId="0" applyNumberFormat="1" applyFont="1" applyFill="1" applyBorder="1" applyAlignment="1">
      <alignment horizontal="center" vertical="center"/>
    </xf>
    <xf numFmtId="2" fontId="40" fillId="11" borderId="49" xfId="0" applyNumberFormat="1" applyFont="1" applyFill="1" applyBorder="1" applyAlignment="1">
      <alignment horizontal="center" vertical="center"/>
    </xf>
    <xf numFmtId="164" fontId="40" fillId="11" borderId="0" xfId="0" applyNumberFormat="1" applyFont="1" applyFill="1" applyBorder="1" applyAlignment="1">
      <alignment horizontal="center" vertical="center"/>
    </xf>
    <xf numFmtId="164" fontId="40" fillId="11" borderId="8" xfId="0" applyNumberFormat="1" applyFont="1" applyFill="1" applyBorder="1" applyAlignment="1">
      <alignment horizontal="center" vertical="center"/>
    </xf>
    <xf numFmtId="164" fontId="40" fillId="11" borderId="16" xfId="0" applyNumberFormat="1" applyFont="1" applyFill="1" applyBorder="1" applyAlignment="1">
      <alignment horizontal="center" vertical="center"/>
    </xf>
    <xf numFmtId="2" fontId="40" fillId="11" borderId="66" xfId="0" applyNumberFormat="1" applyFont="1" applyFill="1" applyBorder="1" applyAlignment="1">
      <alignment horizontal="center" vertical="center"/>
    </xf>
    <xf numFmtId="169" fontId="40" fillId="11" borderId="29" xfId="0" applyNumberFormat="1" applyFont="1" applyFill="1" applyBorder="1" applyAlignment="1">
      <alignment horizontal="center" vertical="center"/>
    </xf>
    <xf numFmtId="0" fontId="40" fillId="11" borderId="0" xfId="0" applyNumberFormat="1" applyFont="1" applyFill="1" applyAlignment="1">
      <alignment horizontal="center" vertical="center"/>
    </xf>
    <xf numFmtId="0" fontId="40" fillId="11" borderId="0" xfId="0" applyNumberFormat="1" applyFont="1" applyFill="1"/>
    <xf numFmtId="164" fontId="40" fillId="11" borderId="41" xfId="0" applyNumberFormat="1" applyFont="1" applyFill="1" applyBorder="1" applyAlignment="1">
      <alignment horizontal="center" vertical="center"/>
    </xf>
    <xf numFmtId="164" fontId="40" fillId="11" borderId="47" xfId="0" applyNumberFormat="1" applyFont="1" applyFill="1" applyBorder="1" applyAlignment="1">
      <alignment horizontal="center" vertical="center"/>
    </xf>
    <xf numFmtId="164" fontId="40" fillId="11" borderId="42" xfId="0" applyNumberFormat="1" applyFont="1" applyFill="1" applyBorder="1" applyAlignment="1">
      <alignment horizontal="center" vertical="center"/>
    </xf>
    <xf numFmtId="164" fontId="40" fillId="11" borderId="45" xfId="0" applyNumberFormat="1" applyFont="1" applyFill="1" applyBorder="1" applyAlignment="1">
      <alignment horizontal="center" vertical="center"/>
    </xf>
    <xf numFmtId="164" fontId="40" fillId="11" borderId="35" xfId="0" applyNumberFormat="1" applyFont="1" applyFill="1" applyBorder="1" applyAlignment="1">
      <alignment horizontal="center" vertical="center"/>
    </xf>
    <xf numFmtId="0" fontId="40" fillId="11" borderId="25" xfId="0" applyFont="1" applyFill="1" applyBorder="1" applyAlignment="1">
      <alignment horizontal="center" vertical="center"/>
    </xf>
    <xf numFmtId="2" fontId="40" fillId="11" borderId="41" xfId="0" applyNumberFormat="1" applyFont="1" applyFill="1" applyBorder="1" applyAlignment="1">
      <alignment horizontal="center" vertical="center"/>
    </xf>
    <xf numFmtId="2" fontId="40" fillId="11" borderId="43" xfId="0" applyNumberFormat="1" applyFont="1" applyFill="1" applyBorder="1" applyAlignment="1">
      <alignment horizontal="center" vertical="center"/>
    </xf>
    <xf numFmtId="169" fontId="40" fillId="11" borderId="41" xfId="0" applyNumberFormat="1" applyFont="1" applyFill="1" applyBorder="1" applyAlignment="1">
      <alignment horizontal="center" vertical="center"/>
    </xf>
    <xf numFmtId="164" fontId="40" fillId="11" borderId="0" xfId="0" applyNumberFormat="1" applyFont="1" applyFill="1"/>
    <xf numFmtId="0" fontId="41" fillId="11" borderId="0" xfId="0" applyFont="1" applyFill="1" applyBorder="1" applyAlignment="1">
      <alignment horizontal="center" vertical="center" wrapText="1"/>
    </xf>
    <xf numFmtId="0" fontId="41" fillId="11" borderId="0" xfId="0" applyFont="1" applyFill="1" applyBorder="1"/>
    <xf numFmtId="9" fontId="40" fillId="11" borderId="0" xfId="1" applyFont="1" applyFill="1" applyBorder="1" applyAlignment="1">
      <alignment horizontal="center" vertical="center"/>
    </xf>
    <xf numFmtId="9" fontId="40" fillId="11" borderId="0" xfId="0" applyNumberFormat="1" applyFont="1" applyFill="1" applyBorder="1" applyAlignment="1">
      <alignment horizontal="center" vertical="center"/>
    </xf>
    <xf numFmtId="0" fontId="5" fillId="11" borderId="27" xfId="2" applyFont="1" applyFill="1" applyBorder="1" applyAlignment="1">
      <alignment horizontal="center" vertical="center"/>
    </xf>
    <xf numFmtId="0" fontId="5" fillId="11" borderId="21" xfId="2" applyFont="1" applyFill="1" applyBorder="1" applyAlignment="1">
      <alignment horizontal="center" vertical="center"/>
    </xf>
    <xf numFmtId="0" fontId="5" fillId="11" borderId="37" xfId="2" applyFont="1" applyFill="1" applyBorder="1" applyAlignment="1">
      <alignment horizontal="center" vertical="center"/>
    </xf>
    <xf numFmtId="166" fontId="5" fillId="11" borderId="23" xfId="1" applyNumberFormat="1" applyFont="1" applyFill="1" applyBorder="1" applyAlignment="1">
      <alignment horizontal="center" vertical="center"/>
    </xf>
    <xf numFmtId="0" fontId="5" fillId="11" borderId="32" xfId="2" applyFont="1" applyFill="1" applyBorder="1" applyAlignment="1">
      <alignment horizontal="center" vertical="center"/>
    </xf>
    <xf numFmtId="166" fontId="5" fillId="11" borderId="33" xfId="1" applyNumberFormat="1" applyFont="1" applyFill="1" applyBorder="1" applyAlignment="1">
      <alignment horizontal="center" vertical="center"/>
    </xf>
    <xf numFmtId="166" fontId="5" fillId="11" borderId="25" xfId="1" applyNumberFormat="1" applyFont="1" applyFill="1" applyBorder="1" applyAlignment="1">
      <alignment horizontal="center" vertical="center"/>
    </xf>
    <xf numFmtId="166" fontId="5" fillId="11" borderId="26" xfId="1" applyNumberFormat="1" applyFont="1" applyFill="1" applyBorder="1" applyAlignment="1">
      <alignment horizontal="center" vertical="center"/>
    </xf>
    <xf numFmtId="0" fontId="41" fillId="11" borderId="0" xfId="0" applyFont="1" applyFill="1" applyAlignment="1">
      <alignment vertical="top"/>
    </xf>
    <xf numFmtId="0" fontId="40" fillId="11" borderId="0" xfId="0" applyFont="1" applyFill="1" applyAlignment="1">
      <alignment vertical="top"/>
    </xf>
    <xf numFmtId="166" fontId="40" fillId="11" borderId="0" xfId="1" applyNumberFormat="1" applyFont="1" applyFill="1" applyAlignment="1">
      <alignment vertical="top"/>
    </xf>
    <xf numFmtId="0" fontId="5" fillId="11" borderId="0" xfId="2" applyFont="1" applyFill="1" applyBorder="1"/>
    <xf numFmtId="0" fontId="5" fillId="11" borderId="23" xfId="2" applyFont="1" applyFill="1" applyBorder="1" applyAlignment="1">
      <alignment horizontal="center" vertical="center"/>
    </xf>
    <xf numFmtId="0" fontId="5" fillId="11" borderId="52" xfId="2" applyFont="1" applyFill="1" applyBorder="1" applyAlignment="1">
      <alignment horizontal="center" vertical="center"/>
    </xf>
    <xf numFmtId="166" fontId="5" fillId="11" borderId="52" xfId="1" applyNumberFormat="1" applyFont="1" applyFill="1" applyBorder="1" applyAlignment="1">
      <alignment horizontal="center" vertical="center"/>
    </xf>
    <xf numFmtId="0" fontId="23" fillId="11" borderId="33" xfId="2" applyFont="1" applyFill="1" applyBorder="1" applyAlignment="1">
      <alignment horizontal="center" vertical="center" wrapText="1"/>
    </xf>
    <xf numFmtId="0" fontId="20" fillId="11" borderId="25" xfId="2" applyFont="1" applyFill="1" applyBorder="1" applyAlignment="1">
      <alignment horizontal="center" vertical="center"/>
    </xf>
    <xf numFmtId="10" fontId="20" fillId="11" borderId="25" xfId="1" applyNumberFormat="1" applyFont="1" applyFill="1" applyBorder="1" applyAlignment="1">
      <alignment horizontal="center" vertical="center"/>
    </xf>
    <xf numFmtId="0" fontId="40" fillId="11" borderId="0" xfId="0" applyFont="1" applyFill="1" applyAlignment="1">
      <alignment horizontal="left" vertical="center"/>
    </xf>
    <xf numFmtId="0" fontId="41" fillId="11" borderId="39" xfId="0" applyFont="1" applyFill="1" applyBorder="1" applyAlignment="1">
      <alignment vertical="center"/>
    </xf>
    <xf numFmtId="0" fontId="41" fillId="11" borderId="40" xfId="0" applyFont="1" applyFill="1" applyBorder="1" applyAlignment="1">
      <alignment vertical="center"/>
    </xf>
    <xf numFmtId="0" fontId="41" fillId="11" borderId="37" xfId="0" applyFont="1" applyFill="1" applyBorder="1" applyAlignment="1">
      <alignment vertical="center"/>
    </xf>
    <xf numFmtId="165" fontId="41" fillId="11" borderId="23" xfId="0" applyNumberFormat="1" applyFont="1" applyFill="1" applyBorder="1" applyAlignment="1">
      <alignment horizontal="center" vertical="center"/>
    </xf>
    <xf numFmtId="0" fontId="41" fillId="11" borderId="0" xfId="0" applyFont="1" applyFill="1" applyAlignment="1">
      <alignment horizontal="left"/>
    </xf>
    <xf numFmtId="0" fontId="40" fillId="11" borderId="48" xfId="0" applyFont="1" applyFill="1" applyBorder="1" applyAlignment="1">
      <alignment vertical="center"/>
    </xf>
    <xf numFmtId="0" fontId="40" fillId="11" borderId="63" xfId="0" applyFont="1" applyFill="1" applyBorder="1" applyAlignment="1">
      <alignment vertical="center"/>
    </xf>
    <xf numFmtId="0" fontId="40" fillId="11" borderId="38" xfId="0" applyFont="1" applyFill="1" applyBorder="1" applyAlignment="1">
      <alignment vertical="center"/>
    </xf>
    <xf numFmtId="165" fontId="40" fillId="11" borderId="52" xfId="0" applyNumberFormat="1" applyFont="1" applyFill="1" applyBorder="1" applyAlignment="1">
      <alignment horizontal="center" vertical="center"/>
    </xf>
    <xf numFmtId="0" fontId="40" fillId="11" borderId="60" xfId="0" applyFont="1" applyFill="1" applyBorder="1" applyAlignment="1">
      <alignment vertical="center"/>
    </xf>
    <xf numFmtId="0" fontId="40" fillId="11" borderId="64" xfId="0" applyFont="1" applyFill="1" applyBorder="1" applyAlignment="1">
      <alignment vertical="center"/>
    </xf>
    <xf numFmtId="0" fontId="40" fillId="11" borderId="32" xfId="0" applyFont="1" applyFill="1" applyBorder="1" applyAlignment="1">
      <alignment vertical="center"/>
    </xf>
    <xf numFmtId="165" fontId="40" fillId="11" borderId="33" xfId="0" applyNumberFormat="1" applyFont="1" applyFill="1" applyBorder="1" applyAlignment="1">
      <alignment horizontal="center" vertical="center"/>
    </xf>
    <xf numFmtId="166" fontId="40" fillId="11" borderId="0" xfId="1" applyNumberFormat="1" applyFont="1" applyFill="1"/>
    <xf numFmtId="0" fontId="40" fillId="11" borderId="65" xfId="0" applyFont="1" applyFill="1" applyBorder="1" applyAlignment="1">
      <alignment horizontal="center" vertical="center"/>
    </xf>
    <xf numFmtId="165" fontId="40" fillId="11" borderId="19" xfId="0" applyNumberFormat="1" applyFont="1" applyFill="1" applyBorder="1" applyAlignment="1">
      <alignment horizontal="center" vertical="center"/>
    </xf>
    <xf numFmtId="0" fontId="40" fillId="11" borderId="36" xfId="0" applyFont="1" applyFill="1" applyBorder="1" applyAlignment="1">
      <alignment horizontal="center" vertical="center"/>
    </xf>
    <xf numFmtId="165" fontId="40" fillId="11" borderId="67" xfId="0" applyNumberFormat="1" applyFont="1" applyFill="1" applyBorder="1" applyAlignment="1">
      <alignment horizontal="center" vertical="center"/>
    </xf>
    <xf numFmtId="0" fontId="40" fillId="11" borderId="17" xfId="0" applyFont="1" applyFill="1" applyBorder="1" applyAlignment="1">
      <alignment horizontal="center"/>
    </xf>
    <xf numFmtId="0" fontId="40" fillId="11" borderId="2" xfId="0" applyFont="1" applyFill="1" applyBorder="1"/>
    <xf numFmtId="165" fontId="40" fillId="11" borderId="2" xfId="0" applyNumberFormat="1" applyFont="1" applyFill="1" applyBorder="1"/>
    <xf numFmtId="0" fontId="40" fillId="11" borderId="3" xfId="0" applyFont="1" applyFill="1" applyBorder="1"/>
    <xf numFmtId="165" fontId="40" fillId="11" borderId="3" xfId="0" applyNumberFormat="1" applyFont="1" applyFill="1" applyBorder="1"/>
    <xf numFmtId="0" fontId="40" fillId="11" borderId="7" xfId="0" applyFont="1" applyFill="1" applyBorder="1" applyAlignment="1">
      <alignment horizontal="left" vertical="center"/>
    </xf>
    <xf numFmtId="0" fontId="40" fillId="11" borderId="0" xfId="0" applyFont="1" applyFill="1" applyBorder="1" applyAlignment="1">
      <alignment horizontal="left" vertical="center"/>
    </xf>
    <xf numFmtId="0" fontId="40" fillId="3" borderId="17" xfId="0" applyFont="1" applyFill="1" applyBorder="1" applyAlignment="1">
      <alignment horizontal="center"/>
    </xf>
    <xf numFmtId="165" fontId="40" fillId="3" borderId="2" xfId="0" applyNumberFormat="1" applyFont="1" applyFill="1" applyBorder="1"/>
    <xf numFmtId="165" fontId="40" fillId="3" borderId="3" xfId="0" applyNumberFormat="1" applyFont="1" applyFill="1" applyBorder="1"/>
    <xf numFmtId="0" fontId="20" fillId="11" borderId="0" xfId="2" applyFont="1" applyFill="1" applyBorder="1" applyAlignment="1">
      <alignment horizontal="center" vertical="center"/>
    </xf>
    <xf numFmtId="0" fontId="41" fillId="11" borderId="27" xfId="0" applyFont="1" applyFill="1" applyBorder="1" applyAlignment="1">
      <alignment horizontal="center" vertical="center"/>
    </xf>
    <xf numFmtId="0" fontId="20" fillId="6" borderId="21" xfId="2" applyFont="1" applyFill="1" applyBorder="1" applyAlignment="1">
      <alignment horizontal="center" vertical="center"/>
    </xf>
    <xf numFmtId="0" fontId="20" fillId="6" borderId="23" xfId="2" applyFont="1" applyFill="1" applyBorder="1" applyAlignment="1">
      <alignment horizontal="center" vertical="center"/>
    </xf>
    <xf numFmtId="0" fontId="20" fillId="6" borderId="33" xfId="2" applyFont="1" applyFill="1" applyBorder="1" applyAlignment="1">
      <alignment horizontal="center" vertical="center"/>
    </xf>
    <xf numFmtId="0" fontId="44" fillId="11" borderId="0" xfId="0" applyFont="1" applyFill="1"/>
    <xf numFmtId="0" fontId="41" fillId="11" borderId="20" xfId="0" applyFont="1" applyFill="1" applyBorder="1" applyAlignment="1">
      <alignment horizontal="center" vertical="center"/>
    </xf>
    <xf numFmtId="0" fontId="40" fillId="11" borderId="21" xfId="0" applyFont="1" applyFill="1" applyBorder="1" applyAlignment="1">
      <alignment horizontal="center" vertical="center"/>
    </xf>
    <xf numFmtId="0" fontId="40" fillId="11" borderId="23" xfId="0" applyFont="1" applyFill="1" applyBorder="1" applyAlignment="1">
      <alignment horizontal="center" vertical="center"/>
    </xf>
    <xf numFmtId="9" fontId="40" fillId="11" borderId="68" xfId="0" applyNumberFormat="1" applyFont="1" applyFill="1" applyBorder="1" applyAlignment="1">
      <alignment horizontal="center" vertical="center"/>
    </xf>
    <xf numFmtId="2" fontId="40" fillId="11" borderId="69" xfId="0" applyNumberFormat="1" applyFont="1" applyFill="1" applyBorder="1" applyAlignment="1">
      <alignment horizontal="center" vertical="center"/>
    </xf>
    <xf numFmtId="0" fontId="45" fillId="11" borderId="34" xfId="0" applyFont="1" applyFill="1" applyBorder="1" applyAlignment="1">
      <alignment horizontal="right" vertical="center"/>
    </xf>
    <xf numFmtId="9" fontId="40" fillId="11" borderId="69" xfId="0" applyNumberFormat="1" applyFont="1" applyFill="1" applyBorder="1" applyAlignment="1">
      <alignment horizontal="center" vertical="center"/>
    </xf>
    <xf numFmtId="0" fontId="40" fillId="11" borderId="69" xfId="0" applyFont="1" applyFill="1" applyBorder="1" applyAlignment="1">
      <alignment horizontal="center" vertical="center"/>
    </xf>
    <xf numFmtId="0" fontId="40" fillId="11" borderId="52" xfId="0" applyFont="1" applyFill="1" applyBorder="1" applyAlignment="1">
      <alignment horizontal="center" vertical="center"/>
    </xf>
    <xf numFmtId="9" fontId="40" fillId="11" borderId="48" xfId="0" applyNumberFormat="1" applyFont="1" applyFill="1" applyBorder="1" applyAlignment="1">
      <alignment horizontal="center" vertical="center"/>
    </xf>
    <xf numFmtId="2" fontId="40" fillId="11" borderId="52" xfId="0" applyNumberFormat="1" applyFont="1" applyFill="1" applyBorder="1" applyAlignment="1">
      <alignment horizontal="center" vertical="center"/>
    </xf>
    <xf numFmtId="0" fontId="45" fillId="11" borderId="38" xfId="0" applyFont="1" applyFill="1" applyBorder="1" applyAlignment="1">
      <alignment horizontal="right" vertical="center"/>
    </xf>
    <xf numFmtId="9" fontId="40" fillId="11" borderId="52" xfId="0" applyNumberFormat="1" applyFont="1" applyFill="1" applyBorder="1" applyAlignment="1">
      <alignment horizontal="center" vertical="center"/>
    </xf>
    <xf numFmtId="0" fontId="40" fillId="11" borderId="33" xfId="0" applyFont="1" applyFill="1" applyBorder="1" applyAlignment="1">
      <alignment horizontal="center" vertical="center"/>
    </xf>
    <xf numFmtId="9" fontId="40" fillId="11" borderId="33" xfId="0" applyNumberFormat="1" applyFont="1" applyFill="1" applyBorder="1" applyAlignment="1">
      <alignment horizontal="center" vertical="center"/>
    </xf>
    <xf numFmtId="0" fontId="45" fillId="11" borderId="32" xfId="0" applyFont="1" applyFill="1" applyBorder="1" applyAlignment="1">
      <alignment horizontal="right" vertical="center"/>
    </xf>
    <xf numFmtId="9" fontId="40" fillId="11" borderId="31" xfId="0" applyNumberFormat="1" applyFont="1" applyFill="1" applyBorder="1" applyAlignment="1">
      <alignment horizontal="center" vertical="center"/>
    </xf>
    <xf numFmtId="2" fontId="40" fillId="11" borderId="33" xfId="0" applyNumberFormat="1" applyFont="1" applyFill="1" applyBorder="1" applyAlignment="1">
      <alignment horizontal="center" vertical="center"/>
    </xf>
    <xf numFmtId="10" fontId="40" fillId="3" borderId="24" xfId="0" applyNumberFormat="1" applyFont="1" applyFill="1" applyBorder="1"/>
    <xf numFmtId="10" fontId="40" fillId="3" borderId="25" xfId="0" applyNumberFormat="1" applyFont="1" applyFill="1" applyBorder="1"/>
    <xf numFmtId="0" fontId="49" fillId="11" borderId="0" xfId="5" applyFont="1" applyFill="1"/>
    <xf numFmtId="0" fontId="50" fillId="11" borderId="0" xfId="5" applyFont="1" applyFill="1"/>
    <xf numFmtId="0" fontId="47" fillId="11" borderId="0" xfId="5" applyFont="1" applyFill="1"/>
    <xf numFmtId="0" fontId="46" fillId="11" borderId="0" xfId="5" applyFont="1" applyFill="1"/>
    <xf numFmtId="0" fontId="47" fillId="11" borderId="0" xfId="5" applyFont="1" applyFill="1" applyAlignment="1"/>
    <xf numFmtId="0" fontId="47" fillId="11" borderId="15" xfId="5" applyFont="1" applyFill="1" applyBorder="1"/>
    <xf numFmtId="0" fontId="46" fillId="11" borderId="0" xfId="5" applyFont="1" applyFill="1" applyBorder="1"/>
    <xf numFmtId="0" fontId="47" fillId="11" borderId="0" xfId="5" applyFont="1" applyFill="1" applyBorder="1"/>
    <xf numFmtId="0" fontId="46" fillId="11" borderId="16" xfId="5" applyFont="1" applyFill="1" applyBorder="1"/>
    <xf numFmtId="0" fontId="46" fillId="11" borderId="0" xfId="5" applyFont="1" applyFill="1" applyAlignment="1"/>
    <xf numFmtId="0" fontId="38" fillId="11" borderId="0" xfId="7" applyFont="1" applyFill="1"/>
    <xf numFmtId="1" fontId="46" fillId="11" borderId="0" xfId="5" applyNumberFormat="1" applyFont="1" applyFill="1"/>
    <xf numFmtId="0" fontId="46" fillId="11" borderId="15" xfId="5" applyFont="1" applyFill="1" applyBorder="1"/>
    <xf numFmtId="0" fontId="47" fillId="11" borderId="16" xfId="5" applyFont="1" applyFill="1" applyBorder="1"/>
    <xf numFmtId="0" fontId="52" fillId="11" borderId="0" xfId="7" applyFont="1" applyFill="1" applyAlignment="1">
      <alignment horizontal="left" indent="1"/>
    </xf>
    <xf numFmtId="0" fontId="40" fillId="11" borderId="0" xfId="5" applyFont="1" applyFill="1"/>
    <xf numFmtId="0" fontId="47" fillId="11" borderId="0" xfId="5" applyFont="1" applyFill="1" applyBorder="1" applyAlignment="1">
      <alignment horizontal="left"/>
    </xf>
    <xf numFmtId="0" fontId="40" fillId="11" borderId="16" xfId="5" applyFont="1" applyFill="1" applyBorder="1"/>
    <xf numFmtId="0" fontId="38" fillId="11" borderId="0" xfId="8" applyFont="1" applyFill="1"/>
    <xf numFmtId="167" fontId="38" fillId="11" borderId="0" xfId="9" applyNumberFormat="1" applyFont="1" applyFill="1"/>
    <xf numFmtId="0" fontId="51" fillId="11" borderId="15" xfId="5" applyFont="1" applyFill="1" applyBorder="1" applyAlignment="1">
      <alignment horizontal="left" indent="1"/>
    </xf>
    <xf numFmtId="0" fontId="46" fillId="11" borderId="0" xfId="5" applyFont="1" applyFill="1" applyBorder="1" applyAlignment="1">
      <alignment horizontal="left" indent="1"/>
    </xf>
    <xf numFmtId="165" fontId="46" fillId="11" borderId="16" xfId="5" applyNumberFormat="1" applyFont="1" applyFill="1" applyBorder="1"/>
    <xf numFmtId="0" fontId="38" fillId="11" borderId="0" xfId="8" applyFont="1" applyFill="1" applyAlignment="1">
      <alignment horizontal="left" indent="2"/>
    </xf>
    <xf numFmtId="3" fontId="53" fillId="11" borderId="0" xfId="0" applyNumberFormat="1" applyFont="1" applyFill="1"/>
    <xf numFmtId="166" fontId="46" fillId="11" borderId="0" xfId="1" applyNumberFormat="1" applyFont="1" applyFill="1" applyBorder="1"/>
    <xf numFmtId="0" fontId="51" fillId="11" borderId="0" xfId="5" applyFont="1" applyFill="1" applyBorder="1" applyAlignment="1">
      <alignment horizontal="left" indent="2"/>
    </xf>
    <xf numFmtId="166" fontId="51" fillId="11" borderId="16" xfId="1" applyNumberFormat="1" applyFont="1" applyFill="1" applyBorder="1"/>
    <xf numFmtId="0" fontId="46" fillId="11" borderId="0" xfId="5" applyNumberFormat="1" applyFont="1" applyFill="1"/>
    <xf numFmtId="167" fontId="46" fillId="11" borderId="0" xfId="5" applyNumberFormat="1" applyFont="1" applyFill="1"/>
    <xf numFmtId="0" fontId="52" fillId="11" borderId="0" xfId="8" applyFont="1" applyFill="1" applyAlignment="1">
      <alignment horizontal="left" indent="1"/>
    </xf>
    <xf numFmtId="166" fontId="52" fillId="11" borderId="0" xfId="10" applyNumberFormat="1" applyFont="1" applyFill="1"/>
    <xf numFmtId="168" fontId="46" fillId="11" borderId="0" xfId="5" applyNumberFormat="1" applyFont="1" applyFill="1"/>
    <xf numFmtId="0" fontId="46" fillId="11" borderId="0" xfId="5" applyFont="1" applyFill="1" applyBorder="1" applyAlignment="1">
      <alignment horizontal="left" indent="2"/>
    </xf>
    <xf numFmtId="166" fontId="46" fillId="11" borderId="0" xfId="6" applyNumberFormat="1" applyFont="1" applyFill="1"/>
    <xf numFmtId="3" fontId="54" fillId="11" borderId="0" xfId="0" applyNumberFormat="1" applyFont="1" applyFill="1"/>
    <xf numFmtId="0" fontId="46" fillId="11" borderId="80" xfId="5" applyFont="1" applyFill="1" applyBorder="1"/>
    <xf numFmtId="0" fontId="46" fillId="11" borderId="50" xfId="5" applyFont="1" applyFill="1" applyBorder="1"/>
    <xf numFmtId="43" fontId="46" fillId="11" borderId="16" xfId="11" applyFont="1" applyFill="1" applyBorder="1"/>
    <xf numFmtId="0" fontId="40" fillId="11" borderId="15" xfId="5" applyFont="1" applyFill="1" applyBorder="1"/>
    <xf numFmtId="0" fontId="40" fillId="11" borderId="0" xfId="5" applyFont="1" applyFill="1" applyBorder="1"/>
    <xf numFmtId="43" fontId="40" fillId="11" borderId="0" xfId="5" applyNumberFormat="1" applyFont="1" applyFill="1"/>
    <xf numFmtId="0" fontId="46" fillId="11" borderId="0" xfId="0" applyFont="1" applyFill="1" applyBorder="1"/>
    <xf numFmtId="0" fontId="47" fillId="11" borderId="27" xfId="0" applyFont="1" applyFill="1" applyBorder="1" applyAlignment="1">
      <alignment horizontal="center" vertical="center"/>
    </xf>
    <xf numFmtId="0" fontId="47" fillId="11" borderId="27" xfId="5" applyFont="1" applyFill="1" applyBorder="1" applyAlignment="1">
      <alignment horizontal="center" vertical="center"/>
    </xf>
    <xf numFmtId="0" fontId="46" fillId="11" borderId="29" xfId="0" applyFont="1" applyFill="1" applyBorder="1" applyAlignment="1">
      <alignment horizontal="center" vertical="center"/>
    </xf>
    <xf numFmtId="165" fontId="46" fillId="11" borderId="2" xfId="0" applyNumberFormat="1" applyFont="1" applyFill="1" applyBorder="1" applyAlignment="1">
      <alignment horizontal="center" vertical="center"/>
    </xf>
    <xf numFmtId="165" fontId="46" fillId="11" borderId="66" xfId="5" applyNumberFormat="1" applyFont="1" applyFill="1" applyBorder="1" applyAlignment="1">
      <alignment horizontal="center" vertical="center"/>
    </xf>
    <xf numFmtId="0" fontId="47" fillId="11" borderId="0" xfId="5" applyFont="1" applyFill="1" applyBorder="1" applyAlignment="1">
      <alignment horizontal="left" indent="2"/>
    </xf>
    <xf numFmtId="0" fontId="47" fillId="11" borderId="0" xfId="5" applyFont="1" applyFill="1" applyBorder="1" applyAlignment="1">
      <alignment horizontal="left" indent="1"/>
    </xf>
    <xf numFmtId="0" fontId="46" fillId="11" borderId="0" xfId="5" applyFont="1" applyFill="1" applyBorder="1" applyAlignment="1">
      <alignment horizontal="left"/>
    </xf>
    <xf numFmtId="0" fontId="40" fillId="11" borderId="31" xfId="5" applyFont="1" applyFill="1" applyBorder="1"/>
    <xf numFmtId="0" fontId="40" fillId="11" borderId="47" xfId="5" applyFont="1" applyFill="1" applyBorder="1"/>
    <xf numFmtId="0" fontId="51" fillId="11" borderId="47" xfId="5" applyFont="1" applyFill="1" applyBorder="1" applyAlignment="1">
      <alignment horizontal="left" indent="2"/>
    </xf>
    <xf numFmtId="166" fontId="51" fillId="11" borderId="35" xfId="1" applyNumberFormat="1" applyFont="1" applyFill="1" applyBorder="1"/>
    <xf numFmtId="0" fontId="51" fillId="11" borderId="0" xfId="5" applyFont="1" applyFill="1" applyAlignment="1">
      <alignment wrapText="1"/>
    </xf>
    <xf numFmtId="0" fontId="46" fillId="11" borderId="0" xfId="5" applyFont="1" applyFill="1" applyAlignment="1">
      <alignment wrapText="1"/>
    </xf>
    <xf numFmtId="0" fontId="46" fillId="11" borderId="41" xfId="0" applyFont="1" applyFill="1" applyBorder="1" applyAlignment="1">
      <alignment horizontal="center" vertical="center"/>
    </xf>
    <xf numFmtId="165" fontId="46" fillId="11" borderId="42" xfId="0" applyNumberFormat="1" applyFont="1" applyFill="1" applyBorder="1" applyAlignment="1">
      <alignment horizontal="center" vertical="center"/>
    </xf>
    <xf numFmtId="165" fontId="46" fillId="11" borderId="43" xfId="5" applyNumberFormat="1" applyFont="1" applyFill="1" applyBorder="1" applyAlignment="1">
      <alignment horizontal="center" vertical="center"/>
    </xf>
    <xf numFmtId="0" fontId="47" fillId="3" borderId="27" xfId="5" applyFont="1" applyFill="1" applyBorder="1" applyAlignment="1">
      <alignment horizontal="center" vertical="center"/>
    </xf>
    <xf numFmtId="165" fontId="46" fillId="3" borderId="2" xfId="5" applyNumberFormat="1" applyFont="1" applyFill="1" applyBorder="1" applyAlignment="1">
      <alignment horizontal="center" vertical="center"/>
    </xf>
    <xf numFmtId="165" fontId="46" fillId="3" borderId="42" xfId="5" applyNumberFormat="1" applyFont="1" applyFill="1" applyBorder="1" applyAlignment="1">
      <alignment horizontal="center" vertical="center"/>
    </xf>
    <xf numFmtId="0" fontId="49" fillId="14" borderId="0" xfId="5" applyFont="1" applyFill="1"/>
    <xf numFmtId="0" fontId="50" fillId="14" borderId="0" xfId="5" applyFont="1" applyFill="1"/>
    <xf numFmtId="0" fontId="40" fillId="11" borderId="72" xfId="0" applyFont="1" applyFill="1" applyBorder="1" applyAlignment="1">
      <alignment horizontal="center" vertical="center" wrapText="1"/>
    </xf>
    <xf numFmtId="0" fontId="40" fillId="11" borderId="17" xfId="0" applyFont="1" applyFill="1" applyBorder="1" applyAlignment="1">
      <alignment horizontal="center" vertical="center" wrapText="1"/>
    </xf>
    <xf numFmtId="10" fontId="51" fillId="2" borderId="0" xfId="1" applyNumberFormat="1" applyFont="1" applyFill="1" applyBorder="1"/>
    <xf numFmtId="10" fontId="40" fillId="11" borderId="15" xfId="5" applyNumberFormat="1" applyFont="1" applyFill="1" applyBorder="1"/>
    <xf numFmtId="0" fontId="2" fillId="6" borderId="27" xfId="2" applyFont="1" applyFill="1" applyBorder="1" applyAlignment="1">
      <alignment horizontal="center" vertical="center" wrapText="1"/>
    </xf>
    <xf numFmtId="10" fontId="5" fillId="3" borderId="69" xfId="1" applyNumberFormat="1" applyFont="1" applyFill="1" applyBorder="1" applyAlignment="1">
      <alignment horizontal="center" vertical="center"/>
    </xf>
    <xf numFmtId="10" fontId="5" fillId="3" borderId="34" xfId="1" applyNumberFormat="1" applyFont="1" applyFill="1" applyBorder="1" applyAlignment="1">
      <alignment horizontal="center" vertical="center"/>
    </xf>
    <xf numFmtId="10" fontId="5" fillId="3" borderId="33" xfId="1" applyNumberFormat="1" applyFont="1" applyFill="1" applyBorder="1" applyAlignment="1">
      <alignment horizontal="center" vertical="center"/>
    </xf>
    <xf numFmtId="10" fontId="5" fillId="3" borderId="32" xfId="1" applyNumberFormat="1" applyFont="1" applyFill="1" applyBorder="1" applyAlignment="1">
      <alignment horizontal="center" vertical="center"/>
    </xf>
    <xf numFmtId="10" fontId="41" fillId="3" borderId="69" xfId="0" applyNumberFormat="1" applyFont="1" applyFill="1" applyBorder="1" applyAlignment="1">
      <alignment horizontal="center" vertical="center"/>
    </xf>
    <xf numFmtId="10" fontId="41" fillId="3" borderId="33" xfId="0" applyNumberFormat="1" applyFont="1" applyFill="1" applyBorder="1" applyAlignment="1">
      <alignment horizontal="center" vertical="center"/>
    </xf>
    <xf numFmtId="0" fontId="41" fillId="2" borderId="20" xfId="5" applyFont="1" applyFill="1" applyBorder="1"/>
    <xf numFmtId="0" fontId="40" fillId="2" borderId="22" xfId="5" applyFont="1" applyFill="1" applyBorder="1" applyAlignment="1">
      <alignment horizontal="center"/>
    </xf>
    <xf numFmtId="0" fontId="55" fillId="12" borderId="0" xfId="0" applyFont="1" applyFill="1"/>
    <xf numFmtId="0" fontId="56" fillId="9" borderId="12" xfId="0" applyFont="1" applyFill="1" applyBorder="1" applyAlignment="1">
      <alignment horizontal="center" vertical="center"/>
    </xf>
    <xf numFmtId="0" fontId="56" fillId="9" borderId="26" xfId="0" applyFont="1" applyFill="1" applyBorder="1" applyAlignment="1">
      <alignment horizontal="center" vertical="center"/>
    </xf>
    <xf numFmtId="0" fontId="56" fillId="9" borderId="23" xfId="0" applyFont="1" applyFill="1" applyBorder="1" applyAlignment="1">
      <alignment horizontal="center" vertical="center" wrapText="1"/>
    </xf>
    <xf numFmtId="10" fontId="55" fillId="9" borderId="39" xfId="0" applyNumberFormat="1" applyFont="1" applyFill="1" applyBorder="1" applyAlignment="1">
      <alignment horizontal="center" vertical="center"/>
    </xf>
    <xf numFmtId="10" fontId="55" fillId="9" borderId="23" xfId="0" applyNumberFormat="1" applyFont="1" applyFill="1" applyBorder="1" applyAlignment="1">
      <alignment horizontal="center" vertical="center"/>
    </xf>
    <xf numFmtId="0" fontId="56" fillId="9" borderId="52" xfId="0" applyFont="1" applyFill="1" applyBorder="1" applyAlignment="1">
      <alignment horizontal="center" vertical="center" wrapText="1"/>
    </xf>
    <xf numFmtId="10" fontId="55" fillId="9" borderId="48" xfId="0" applyNumberFormat="1" applyFont="1" applyFill="1" applyBorder="1" applyAlignment="1">
      <alignment horizontal="center" vertical="center"/>
    </xf>
    <xf numFmtId="10" fontId="55" fillId="9" borderId="52" xfId="0" applyNumberFormat="1" applyFont="1" applyFill="1" applyBorder="1" applyAlignment="1">
      <alignment horizontal="center" vertical="center"/>
    </xf>
    <xf numFmtId="0" fontId="56" fillId="9" borderId="33" xfId="0" applyFont="1" applyFill="1" applyBorder="1" applyAlignment="1">
      <alignment horizontal="center" vertical="center" wrapText="1"/>
    </xf>
    <xf numFmtId="10" fontId="55" fillId="9" borderId="60" xfId="0" applyNumberFormat="1" applyFont="1" applyFill="1" applyBorder="1" applyAlignment="1">
      <alignment horizontal="center" vertical="center"/>
    </xf>
    <xf numFmtId="10" fontId="55" fillId="9" borderId="33" xfId="0" applyNumberFormat="1" applyFont="1" applyFill="1" applyBorder="1" applyAlignment="1">
      <alignment horizontal="center" vertical="center"/>
    </xf>
    <xf numFmtId="0" fontId="55" fillId="12" borderId="0" xfId="0" applyFont="1" applyFill="1" applyBorder="1"/>
    <xf numFmtId="170" fontId="40" fillId="2" borderId="0" xfId="5" applyNumberFormat="1" applyFont="1" applyFill="1" applyAlignment="1">
      <alignment horizontal="center"/>
    </xf>
    <xf numFmtId="169" fontId="40" fillId="0" borderId="0" xfId="5" applyNumberFormat="1" applyFont="1" applyAlignment="1">
      <alignment horizontal="center"/>
    </xf>
    <xf numFmtId="166" fontId="17" fillId="6" borderId="23" xfId="1" applyNumberFormat="1" applyFont="1" applyFill="1" applyBorder="1" applyAlignment="1">
      <alignment horizontal="center" vertical="center"/>
    </xf>
    <xf numFmtId="166" fontId="17" fillId="6" borderId="52" xfId="1" applyNumberFormat="1" applyFont="1" applyFill="1" applyBorder="1" applyAlignment="1">
      <alignment horizontal="center" vertical="center"/>
    </xf>
    <xf numFmtId="166" fontId="17" fillId="6" borderId="33" xfId="1" applyNumberFormat="1" applyFont="1" applyFill="1" applyBorder="1" applyAlignment="1">
      <alignment horizontal="center" vertical="center"/>
    </xf>
    <xf numFmtId="166" fontId="20" fillId="6" borderId="25" xfId="1" applyNumberFormat="1" applyFont="1" applyFill="1" applyBorder="1" applyAlignment="1">
      <alignment horizontal="center" vertical="center"/>
    </xf>
    <xf numFmtId="166" fontId="40" fillId="0" borderId="47" xfId="5" applyNumberFormat="1" applyFont="1" applyBorder="1" applyAlignment="1">
      <alignment horizontal="center"/>
    </xf>
    <xf numFmtId="2" fontId="40" fillId="0" borderId="24" xfId="0" applyNumberFormat="1" applyFont="1" applyBorder="1" applyAlignment="1">
      <alignment horizontal="center"/>
    </xf>
    <xf numFmtId="2" fontId="40" fillId="3" borderId="26" xfId="0" applyNumberFormat="1" applyFont="1" applyFill="1" applyBorder="1" applyAlignment="1">
      <alignment horizontal="center"/>
    </xf>
    <xf numFmtId="2" fontId="40" fillId="3" borderId="25" xfId="0" applyNumberFormat="1" applyFont="1" applyFill="1" applyBorder="1" applyAlignment="1">
      <alignment horizontal="center"/>
    </xf>
    <xf numFmtId="0" fontId="58" fillId="11" borderId="0" xfId="0" applyFont="1" applyFill="1"/>
    <xf numFmtId="0" fontId="40" fillId="0" borderId="0" xfId="0" applyFont="1" applyAlignment="1">
      <alignment horizontal="left" indent="1"/>
    </xf>
    <xf numFmtId="0" fontId="40" fillId="2" borderId="13" xfId="5" applyFont="1" applyFill="1" applyBorder="1" applyAlignment="1">
      <alignment horizontal="center" vertical="center" wrapText="1"/>
    </xf>
    <xf numFmtId="0" fontId="40" fillId="2" borderId="0" xfId="5" applyFont="1" applyFill="1" applyBorder="1" applyAlignment="1">
      <alignment horizontal="center"/>
    </xf>
    <xf numFmtId="3" fontId="40" fillId="2" borderId="36" xfId="0" applyNumberFormat="1" applyFont="1" applyFill="1" applyBorder="1" applyAlignment="1">
      <alignment horizontal="center" vertical="center"/>
    </xf>
    <xf numFmtId="9" fontId="40" fillId="2" borderId="17" xfId="0" applyNumberFormat="1" applyFont="1" applyFill="1" applyBorder="1" applyAlignment="1">
      <alignment horizontal="center" vertical="center"/>
    </xf>
    <xf numFmtId="3" fontId="40" fillId="2" borderId="17" xfId="0" applyNumberFormat="1" applyFont="1" applyFill="1" applyBorder="1" applyAlignment="1">
      <alignment horizontal="center" vertical="center"/>
    </xf>
    <xf numFmtId="171" fontId="40" fillId="0" borderId="6" xfId="5" applyNumberFormat="1" applyFont="1" applyFill="1" applyBorder="1" applyAlignment="1">
      <alignment horizontal="center"/>
    </xf>
    <xf numFmtId="171" fontId="40" fillId="0" borderId="8" xfId="5" applyNumberFormat="1" applyFont="1" applyFill="1" applyBorder="1" applyAlignment="1">
      <alignment horizontal="center"/>
    </xf>
    <xf numFmtId="171" fontId="40" fillId="0" borderId="0" xfId="5" applyNumberFormat="1" applyFont="1" applyBorder="1" applyAlignment="1">
      <alignment horizontal="center"/>
    </xf>
    <xf numFmtId="0" fontId="40" fillId="0" borderId="0" xfId="5" applyFont="1" applyBorder="1" applyAlignment="1">
      <alignment vertical="center"/>
    </xf>
    <xf numFmtId="0" fontId="40" fillId="2" borderId="0" xfId="0" applyFont="1" applyFill="1"/>
    <xf numFmtId="4" fontId="40" fillId="0" borderId="0" xfId="5" applyNumberFormat="1" applyFont="1" applyFill="1" applyAlignment="1">
      <alignment horizontal="center"/>
    </xf>
    <xf numFmtId="3" fontId="40" fillId="0" borderId="0" xfId="5" applyNumberFormat="1" applyFont="1" applyFill="1" applyAlignment="1">
      <alignment horizontal="center"/>
    </xf>
    <xf numFmtId="165" fontId="46" fillId="11" borderId="5" xfId="5" applyNumberFormat="1" applyFont="1" applyFill="1" applyBorder="1"/>
    <xf numFmtId="0" fontId="59" fillId="12" borderId="0" xfId="0" applyNumberFormat="1" applyFont="1" applyFill="1" applyBorder="1" applyAlignment="1">
      <alignment vertical="center" wrapText="1"/>
    </xf>
    <xf numFmtId="0" fontId="0" fillId="12" borderId="0" xfId="0" applyFill="1"/>
    <xf numFmtId="0" fontId="0" fillId="11" borderId="0" xfId="0" applyFill="1"/>
    <xf numFmtId="0" fontId="8" fillId="7" borderId="15" xfId="2" applyFont="1" applyFill="1" applyBorder="1" applyAlignment="1">
      <alignment vertical="top"/>
    </xf>
    <xf numFmtId="0" fontId="0" fillId="7" borderId="13" xfId="0" applyFill="1" applyBorder="1"/>
    <xf numFmtId="0" fontId="21" fillId="7" borderId="0" xfId="2" applyFont="1" applyFill="1" applyAlignment="1">
      <alignment vertical="top" wrapText="1"/>
    </xf>
    <xf numFmtId="0" fontId="35" fillId="7" borderId="0" xfId="0" applyFont="1" applyFill="1" applyBorder="1" applyAlignment="1">
      <alignment horizontal="center" vertical="top" wrapText="1"/>
    </xf>
    <xf numFmtId="0" fontId="32" fillId="7" borderId="0" xfId="2" applyFont="1" applyFill="1" applyBorder="1" applyAlignment="1">
      <alignment vertical="center" wrapText="1"/>
    </xf>
    <xf numFmtId="0" fontId="32" fillId="7" borderId="47" xfId="2" applyFont="1" applyFill="1" applyBorder="1" applyAlignment="1">
      <alignment vertical="center" wrapText="1"/>
    </xf>
    <xf numFmtId="0" fontId="30" fillId="7" borderId="0" xfId="2" applyNumberFormat="1" applyFont="1" applyFill="1" applyBorder="1" applyAlignment="1">
      <alignment horizontal="center" wrapText="1"/>
    </xf>
    <xf numFmtId="0" fontId="21" fillId="7" borderId="0" xfId="2" applyFont="1" applyFill="1" applyAlignment="1">
      <alignment horizontal="center" vertical="top" wrapText="1"/>
    </xf>
    <xf numFmtId="0" fontId="61" fillId="7" borderId="0" xfId="12" applyFill="1" applyAlignment="1" applyProtection="1">
      <alignment horizontal="center" vertical="top" wrapText="1"/>
    </xf>
    <xf numFmtId="0" fontId="25" fillId="5" borderId="0" xfId="2" applyFont="1" applyFill="1" applyBorder="1" applyAlignment="1">
      <alignment horizontal="left" vertical="center" wrapText="1"/>
    </xf>
    <xf numFmtId="0" fontId="0" fillId="0" borderId="0" xfId="0"/>
    <xf numFmtId="0" fontId="0" fillId="0" borderId="47" xfId="0" applyBorder="1"/>
    <xf numFmtId="0" fontId="20" fillId="4" borderId="16" xfId="2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left" vertical="center" wrapText="1" indent="2"/>
    </xf>
    <xf numFmtId="0" fontId="4" fillId="6" borderId="20" xfId="2" applyFont="1" applyFill="1" applyBorder="1" applyAlignment="1">
      <alignment horizontal="center" vertical="center"/>
    </xf>
    <xf numFmtId="0" fontId="10" fillId="6" borderId="22" xfId="2" applyFont="1" applyFill="1" applyBorder="1" applyAlignment="1">
      <alignment horizontal="center" vertical="center"/>
    </xf>
    <xf numFmtId="0" fontId="10" fillId="6" borderId="21" xfId="2" applyFont="1" applyFill="1" applyBorder="1" applyAlignment="1">
      <alignment horizontal="center" vertical="center"/>
    </xf>
    <xf numFmtId="0" fontId="20" fillId="4" borderId="0" xfId="2" applyFont="1" applyFill="1" applyBorder="1" applyAlignment="1">
      <alignment horizontal="center" vertical="center" wrapText="1"/>
    </xf>
    <xf numFmtId="0" fontId="25" fillId="5" borderId="13" xfId="2" applyFont="1" applyFill="1" applyBorder="1" applyAlignment="1">
      <alignment horizontal="center" vertical="center" wrapText="1"/>
    </xf>
    <xf numFmtId="0" fontId="25" fillId="5" borderId="0" xfId="2" applyFont="1" applyFill="1" applyBorder="1" applyAlignment="1">
      <alignment horizontal="center" vertical="center" wrapText="1"/>
    </xf>
    <xf numFmtId="0" fontId="25" fillId="4" borderId="13" xfId="2" applyFont="1" applyFill="1" applyBorder="1" applyAlignment="1">
      <alignment horizontal="left" vertical="center" wrapText="1"/>
    </xf>
    <xf numFmtId="0" fontId="25" fillId="4" borderId="47" xfId="2" applyFont="1" applyFill="1" applyBorder="1" applyAlignment="1">
      <alignment horizontal="left" vertical="center" wrapText="1"/>
    </xf>
    <xf numFmtId="0" fontId="7" fillId="8" borderId="49" xfId="2" applyFont="1" applyFill="1" applyBorder="1" applyAlignment="1">
      <alignment horizontal="center" vertical="center"/>
    </xf>
    <xf numFmtId="0" fontId="12" fillId="8" borderId="54" xfId="2" applyFont="1" applyFill="1" applyBorder="1" applyAlignment="1">
      <alignment horizontal="center" vertical="center"/>
    </xf>
    <xf numFmtId="0" fontId="12" fillId="8" borderId="53" xfId="2" applyFont="1" applyFill="1" applyBorder="1" applyAlignment="1">
      <alignment horizontal="center" vertical="center"/>
    </xf>
    <xf numFmtId="0" fontId="11" fillId="6" borderId="55" xfId="2" applyFont="1" applyFill="1" applyBorder="1" applyAlignment="1">
      <alignment horizontal="center" vertical="center"/>
    </xf>
    <xf numFmtId="0" fontId="17" fillId="6" borderId="56" xfId="2" applyFill="1" applyBorder="1" applyAlignment="1">
      <alignment horizontal="center" vertical="center"/>
    </xf>
    <xf numFmtId="0" fontId="25" fillId="5" borderId="0" xfId="2" applyFont="1" applyFill="1" applyBorder="1" applyAlignment="1">
      <alignment wrapText="1"/>
    </xf>
    <xf numFmtId="0" fontId="37" fillId="5" borderId="4" xfId="2" applyFont="1" applyFill="1" applyBorder="1" applyAlignment="1">
      <alignment horizontal="center" vertical="center" wrapText="1"/>
    </xf>
    <xf numFmtId="0" fontId="37" fillId="5" borderId="5" xfId="2" applyFont="1" applyFill="1" applyBorder="1" applyAlignment="1">
      <alignment horizontal="center" vertical="center" wrapText="1"/>
    </xf>
    <xf numFmtId="0" fontId="37" fillId="5" borderId="6" xfId="2" applyFont="1" applyFill="1" applyBorder="1" applyAlignment="1">
      <alignment horizontal="center" vertical="center" wrapText="1"/>
    </xf>
    <xf numFmtId="0" fontId="37" fillId="5" borderId="9" xfId="2" applyFont="1" applyFill="1" applyBorder="1" applyAlignment="1">
      <alignment horizontal="center" vertical="center" wrapText="1"/>
    </xf>
    <xf numFmtId="0" fontId="37" fillId="5" borderId="10" xfId="2" applyFont="1" applyFill="1" applyBorder="1" applyAlignment="1">
      <alignment horizontal="center" vertical="center" wrapText="1"/>
    </xf>
    <xf numFmtId="0" fontId="37" fillId="5" borderId="11" xfId="2" applyFont="1" applyFill="1" applyBorder="1" applyAlignment="1">
      <alignment horizontal="center" vertical="center" wrapText="1"/>
    </xf>
    <xf numFmtId="0" fontId="20" fillId="5" borderId="47" xfId="2" applyFont="1" applyFill="1" applyBorder="1" applyAlignment="1">
      <alignment horizontal="center" vertical="top" wrapText="1"/>
    </xf>
    <xf numFmtId="0" fontId="57" fillId="12" borderId="13" xfId="0" applyFont="1" applyFill="1" applyBorder="1" applyAlignment="1">
      <alignment horizontal="left" vertical="center" wrapText="1"/>
    </xf>
    <xf numFmtId="0" fontId="57" fillId="12" borderId="0" xfId="0" applyFont="1" applyFill="1" applyBorder="1" applyAlignment="1">
      <alignment horizontal="left" vertical="center" wrapText="1"/>
    </xf>
    <xf numFmtId="0" fontId="59" fillId="12" borderId="0" xfId="0" applyNumberFormat="1" applyFont="1" applyFill="1" applyBorder="1" applyAlignment="1">
      <alignment horizontal="center" vertical="center" wrapText="1"/>
    </xf>
    <xf numFmtId="0" fontId="60" fillId="12" borderId="0" xfId="0" applyFont="1" applyFill="1" applyAlignment="1">
      <alignment horizontal="center" vertical="center" wrapText="1"/>
    </xf>
    <xf numFmtId="0" fontId="56" fillId="9" borderId="20" xfId="0" applyFont="1" applyFill="1" applyBorder="1" applyAlignment="1">
      <alignment horizontal="center" vertical="center"/>
    </xf>
    <xf numFmtId="0" fontId="56" fillId="9" borderId="21" xfId="0" applyFont="1" applyFill="1" applyBorder="1" applyAlignment="1">
      <alignment horizontal="center" vertical="center"/>
    </xf>
    <xf numFmtId="10" fontId="56" fillId="9" borderId="39" xfId="0" applyNumberFormat="1" applyFont="1" applyFill="1" applyBorder="1" applyAlignment="1">
      <alignment horizontal="center" vertical="center"/>
    </xf>
    <xf numFmtId="0" fontId="56" fillId="9" borderId="37" xfId="0" applyFont="1" applyFill="1" applyBorder="1" applyAlignment="1">
      <alignment horizontal="center" vertical="center"/>
    </xf>
    <xf numFmtId="10" fontId="56" fillId="9" borderId="48" xfId="0" applyNumberFormat="1" applyFont="1" applyFill="1" applyBorder="1" applyAlignment="1">
      <alignment horizontal="center" vertical="center"/>
    </xf>
    <xf numFmtId="0" fontId="56" fillId="9" borderId="38" xfId="0" applyFont="1" applyFill="1" applyBorder="1" applyAlignment="1">
      <alignment horizontal="center" vertical="center"/>
    </xf>
    <xf numFmtId="10" fontId="56" fillId="9" borderId="60" xfId="0" applyNumberFormat="1" applyFont="1" applyFill="1" applyBorder="1" applyAlignment="1">
      <alignment horizontal="center" vertical="center"/>
    </xf>
    <xf numFmtId="0" fontId="56" fillId="9" borderId="32" xfId="0" applyFont="1" applyFill="1" applyBorder="1" applyAlignment="1">
      <alignment horizontal="center" vertical="center"/>
    </xf>
    <xf numFmtId="0" fontId="41" fillId="11" borderId="12" xfId="0" applyFont="1" applyFill="1" applyBorder="1" applyAlignment="1">
      <alignment horizontal="center" vertical="center" wrapText="1"/>
    </xf>
    <xf numFmtId="0" fontId="41" fillId="11" borderId="31" xfId="0" applyFont="1" applyFill="1" applyBorder="1" applyAlignment="1">
      <alignment horizontal="center" vertical="center"/>
    </xf>
    <xf numFmtId="0" fontId="41" fillId="11" borderId="39" xfId="0" applyFont="1" applyFill="1" applyBorder="1" applyAlignment="1">
      <alignment horizontal="center" vertical="center"/>
    </xf>
    <xf numFmtId="0" fontId="41" fillId="11" borderId="40" xfId="0" applyFont="1" applyFill="1" applyBorder="1" applyAlignment="1">
      <alignment horizontal="center" vertical="center"/>
    </xf>
    <xf numFmtId="0" fontId="41" fillId="11" borderId="12" xfId="0" applyFont="1" applyFill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/>
    </xf>
    <xf numFmtId="0" fontId="41" fillId="11" borderId="14" xfId="0" applyFont="1" applyFill="1" applyBorder="1" applyAlignment="1">
      <alignment horizontal="center" vertical="center"/>
    </xf>
    <xf numFmtId="0" fontId="41" fillId="3" borderId="14" xfId="0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 vertical="center"/>
    </xf>
    <xf numFmtId="0" fontId="41" fillId="13" borderId="26" xfId="0" applyFont="1" applyFill="1" applyBorder="1" applyAlignment="1">
      <alignment horizontal="center" vertical="center"/>
    </xf>
    <xf numFmtId="0" fontId="41" fillId="13" borderId="25" xfId="0" applyFont="1" applyFill="1" applyBorder="1" applyAlignment="1">
      <alignment horizontal="center" vertical="center"/>
    </xf>
    <xf numFmtId="0" fontId="41" fillId="3" borderId="20" xfId="0" applyFont="1" applyFill="1" applyBorder="1" applyAlignment="1">
      <alignment horizontal="center" vertical="center"/>
    </xf>
    <xf numFmtId="0" fontId="41" fillId="3" borderId="22" xfId="0" applyFont="1" applyFill="1" applyBorder="1" applyAlignment="1">
      <alignment horizontal="center" vertical="center"/>
    </xf>
    <xf numFmtId="0" fontId="41" fillId="3" borderId="21" xfId="0" applyFont="1" applyFill="1" applyBorder="1" applyAlignment="1">
      <alignment horizontal="center" vertical="center"/>
    </xf>
    <xf numFmtId="0" fontId="44" fillId="3" borderId="20" xfId="0" applyFont="1" applyFill="1" applyBorder="1" applyAlignment="1">
      <alignment horizontal="center" vertical="center"/>
    </xf>
    <xf numFmtId="0" fontId="44" fillId="3" borderId="22" xfId="0" applyFont="1" applyFill="1" applyBorder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1" fillId="11" borderId="26" xfId="0" applyFont="1" applyFill="1" applyBorder="1" applyAlignment="1">
      <alignment horizontal="center" vertical="center" wrapText="1"/>
    </xf>
    <xf numFmtId="0" fontId="41" fillId="11" borderId="25" xfId="0" applyFont="1" applyFill="1" applyBorder="1" applyAlignment="1">
      <alignment horizontal="center" vertical="center"/>
    </xf>
    <xf numFmtId="0" fontId="40" fillId="11" borderId="65" xfId="0" applyFont="1" applyFill="1" applyBorder="1" applyAlignment="1">
      <alignment horizontal="center" vertical="center"/>
    </xf>
    <xf numFmtId="0" fontId="40" fillId="11" borderId="19" xfId="0" applyFont="1" applyFill="1" applyBorder="1" applyAlignment="1">
      <alignment horizontal="center" vertical="center"/>
    </xf>
    <xf numFmtId="0" fontId="40" fillId="11" borderId="30" xfId="0" applyFont="1" applyFill="1" applyBorder="1" applyAlignment="1">
      <alignment horizontal="center" vertical="center"/>
    </xf>
    <xf numFmtId="0" fontId="40" fillId="11" borderId="28" xfId="0" applyFont="1" applyFill="1" applyBorder="1" applyAlignment="1">
      <alignment horizontal="center" vertical="center"/>
    </xf>
    <xf numFmtId="0" fontId="41" fillId="11" borderId="7" xfId="0" applyFont="1" applyFill="1" applyBorder="1" applyAlignment="1">
      <alignment horizontal="center" vertical="center" wrapText="1"/>
    </xf>
    <xf numFmtId="0" fontId="41" fillId="11" borderId="9" xfId="0" applyFont="1" applyFill="1" applyBorder="1" applyAlignment="1">
      <alignment horizontal="center" vertical="center"/>
    </xf>
    <xf numFmtId="0" fontId="41" fillId="11" borderId="68" xfId="0" applyFont="1" applyFill="1" applyBorder="1" applyAlignment="1">
      <alignment horizontal="center" vertical="center"/>
    </xf>
    <xf numFmtId="0" fontId="41" fillId="11" borderId="10" xfId="0" applyFont="1" applyFill="1" applyBorder="1" applyAlignment="1">
      <alignment horizontal="center" vertical="center"/>
    </xf>
    <xf numFmtId="0" fontId="41" fillId="11" borderId="15" xfId="0" applyFont="1" applyFill="1" applyBorder="1" applyAlignment="1">
      <alignment horizontal="center" vertical="center"/>
    </xf>
    <xf numFmtId="0" fontId="41" fillId="11" borderId="0" xfId="0" applyFont="1" applyFill="1" applyBorder="1" applyAlignment="1">
      <alignment horizontal="center" vertical="center"/>
    </xf>
    <xf numFmtId="0" fontId="41" fillId="11" borderId="16" xfId="0" applyFont="1" applyFill="1" applyBorder="1" applyAlignment="1">
      <alignment horizontal="center" vertical="center"/>
    </xf>
    <xf numFmtId="0" fontId="20" fillId="11" borderId="49" xfId="2" applyFont="1" applyFill="1" applyBorder="1" applyAlignment="1">
      <alignment horizontal="center" vertical="center" wrapText="1"/>
    </xf>
    <xf numFmtId="0" fontId="20" fillId="11" borderId="41" xfId="2" applyFont="1" applyFill="1" applyBorder="1" applyAlignment="1">
      <alignment horizontal="center" vertical="center" wrapText="1"/>
    </xf>
    <xf numFmtId="0" fontId="5" fillId="11" borderId="20" xfId="2" applyFont="1" applyFill="1" applyBorder="1" applyAlignment="1">
      <alignment horizontal="center" vertical="center"/>
    </xf>
    <xf numFmtId="0" fontId="5" fillId="11" borderId="22" xfId="2" applyFont="1" applyFill="1" applyBorder="1" applyAlignment="1">
      <alignment horizontal="center" vertical="center"/>
    </xf>
    <xf numFmtId="0" fontId="5" fillId="11" borderId="21" xfId="2" applyFont="1" applyFill="1" applyBorder="1" applyAlignment="1">
      <alignment horizontal="center" vertical="center"/>
    </xf>
    <xf numFmtId="0" fontId="20" fillId="11" borderId="0" xfId="2" applyFont="1" applyFill="1" applyBorder="1" applyAlignment="1">
      <alignment horizontal="center" vertical="center" wrapText="1"/>
    </xf>
    <xf numFmtId="0" fontId="20" fillId="11" borderId="47" xfId="2" applyFont="1" applyFill="1" applyBorder="1" applyAlignment="1">
      <alignment horizontal="center" vertical="center" wrapText="1"/>
    </xf>
    <xf numFmtId="0" fontId="40" fillId="0" borderId="70" xfId="5" applyFont="1" applyFill="1" applyBorder="1" applyAlignment="1">
      <alignment horizontal="center" vertical="center" wrapText="1"/>
    </xf>
    <xf numFmtId="0" fontId="40" fillId="0" borderId="9" xfId="5" applyFont="1" applyFill="1" applyBorder="1" applyAlignment="1">
      <alignment horizontal="center" vertical="center" wrapText="1"/>
    </xf>
    <xf numFmtId="0" fontId="40" fillId="0" borderId="53" xfId="5" applyFont="1" applyFill="1" applyBorder="1" applyAlignment="1">
      <alignment horizontal="center" vertical="center" wrapText="1"/>
    </xf>
    <xf numFmtId="0" fontId="40" fillId="0" borderId="73" xfId="5" applyFont="1" applyFill="1" applyBorder="1" applyAlignment="1">
      <alignment horizontal="center" vertical="center" wrapText="1"/>
    </xf>
    <xf numFmtId="0" fontId="40" fillId="0" borderId="20" xfId="5" applyFont="1" applyBorder="1" applyAlignment="1">
      <alignment horizontal="center"/>
    </xf>
    <xf numFmtId="0" fontId="40" fillId="0" borderId="21" xfId="5" applyFont="1" applyBorder="1" applyAlignment="1">
      <alignment horizontal="center"/>
    </xf>
    <xf numFmtId="0" fontId="40" fillId="0" borderId="22" xfId="5" applyFont="1" applyBorder="1" applyAlignment="1">
      <alignment horizontal="center"/>
    </xf>
    <xf numFmtId="0" fontId="40" fillId="0" borderId="77" xfId="5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40" fillId="0" borderId="22" xfId="0" applyFont="1" applyBorder="1"/>
    <xf numFmtId="0" fontId="40" fillId="0" borderId="21" xfId="0" applyFont="1" applyBorder="1"/>
    <xf numFmtId="0" fontId="40" fillId="0" borderId="46" xfId="0" applyFont="1" applyBorder="1" applyAlignment="1">
      <alignment horizontal="center" vertical="center"/>
    </xf>
    <xf numFmtId="0" fontId="40" fillId="0" borderId="72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6" borderId="49" xfId="0" applyFont="1" applyFill="1" applyBorder="1" applyAlignment="1">
      <alignment horizontal="center" vertical="center"/>
    </xf>
    <xf numFmtId="0" fontId="41" fillId="6" borderId="41" xfId="0" applyFont="1" applyFill="1" applyBorder="1" applyAlignment="1">
      <alignment horizontal="center" vertical="center"/>
    </xf>
    <xf numFmtId="0" fontId="40" fillId="0" borderId="28" xfId="5" applyFont="1" applyFill="1" applyBorder="1" applyAlignment="1">
      <alignment horizontal="center"/>
    </xf>
    <xf numFmtId="0" fontId="40" fillId="0" borderId="40" xfId="5" applyFont="1" applyFill="1" applyBorder="1" applyAlignment="1">
      <alignment horizontal="center"/>
    </xf>
    <xf numFmtId="0" fontId="40" fillId="0" borderId="30" xfId="5" applyFont="1" applyFill="1" applyBorder="1" applyAlignment="1">
      <alignment horizontal="center"/>
    </xf>
    <xf numFmtId="0" fontId="43" fillId="0" borderId="49" xfId="5" applyFont="1" applyFill="1" applyBorder="1" applyAlignment="1">
      <alignment horizontal="center" vertical="center"/>
    </xf>
    <xf numFmtId="0" fontId="43" fillId="0" borderId="75" xfId="5" applyFont="1" applyFill="1" applyBorder="1" applyAlignment="1">
      <alignment horizontal="center" vertical="center"/>
    </xf>
    <xf numFmtId="0" fontId="40" fillId="0" borderId="54" xfId="5" applyFont="1" applyFill="1" applyBorder="1" applyAlignment="1">
      <alignment horizontal="center" vertical="center" wrapText="1"/>
    </xf>
    <xf numFmtId="0" fontId="40" fillId="0" borderId="3" xfId="5" applyFont="1" applyFill="1" applyBorder="1" applyAlignment="1">
      <alignment horizontal="center" vertical="center" wrapText="1"/>
    </xf>
    <xf numFmtId="0" fontId="40" fillId="0" borderId="71" xfId="5" applyFont="1" applyFill="1" applyBorder="1" applyAlignment="1">
      <alignment horizontal="center" vertical="center" wrapText="1"/>
    </xf>
    <xf numFmtId="0" fontId="40" fillId="0" borderId="10" xfId="5" applyFont="1" applyFill="1" applyBorder="1" applyAlignment="1">
      <alignment horizontal="center" vertical="center" wrapText="1"/>
    </xf>
    <xf numFmtId="0" fontId="41" fillId="3" borderId="26" xfId="0" applyFont="1" applyFill="1" applyBorder="1" applyAlignment="1">
      <alignment horizontal="center" vertical="center" wrapText="1"/>
    </xf>
    <xf numFmtId="0" fontId="41" fillId="3" borderId="25" xfId="0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wrapText="1"/>
    </xf>
    <xf numFmtId="0" fontId="40" fillId="0" borderId="5" xfId="0" applyFont="1" applyBorder="1" applyAlignment="1">
      <alignment horizontal="center" wrapText="1"/>
    </xf>
    <xf numFmtId="0" fontId="40" fillId="0" borderId="6" xfId="0" applyFont="1" applyBorder="1" applyAlignment="1">
      <alignment horizontal="center" wrapText="1"/>
    </xf>
    <xf numFmtId="0" fontId="47" fillId="11" borderId="20" xfId="5" applyFont="1" applyFill="1" applyBorder="1" applyAlignment="1">
      <alignment horizontal="center"/>
    </xf>
    <xf numFmtId="0" fontId="47" fillId="11" borderId="22" xfId="5" applyFont="1" applyFill="1" applyBorder="1" applyAlignment="1">
      <alignment horizontal="center"/>
    </xf>
    <xf numFmtId="0" fontId="47" fillId="11" borderId="21" xfId="5" applyFont="1" applyFill="1" applyBorder="1" applyAlignment="1">
      <alignment horizontal="center"/>
    </xf>
    <xf numFmtId="0" fontId="46" fillId="11" borderId="0" xfId="5" applyFont="1" applyFill="1" applyAlignment="1">
      <alignment horizontal="left" wrapText="1"/>
    </xf>
  </cellXfs>
  <cellStyles count="13">
    <cellStyle name="Comma" xfId="11" builtinId="3"/>
    <cellStyle name="Comma 2" xfId="9"/>
    <cellStyle name="Hyperlink" xfId="12" builtinId="8"/>
    <cellStyle name="Normal" xfId="0" builtinId="0"/>
    <cellStyle name="Normal 2" xfId="2"/>
    <cellStyle name="Normal 2 2" xfId="5"/>
    <cellStyle name="Normal 3" xfId="3"/>
    <cellStyle name="Normal 4" xfId="7"/>
    <cellStyle name="Normal 5" xfId="8"/>
    <cellStyle name="Percent" xfId="1" builtinId="5"/>
    <cellStyle name="Percent 2" xfId="4"/>
    <cellStyle name="Percent 3" xfId="6"/>
    <cellStyle name="Percent 4" xfId="1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CLIMATE INFLUENCE FROM YOUR ENERGY/POLICY CHOICES</a:t>
            </a:r>
          </a:p>
        </c:rich>
      </c:tx>
      <c:layout>
        <c:manualLayout>
          <c:xMode val="edge"/>
          <c:yMode val="edge"/>
          <c:x val="0.17835245896789681"/>
          <c:y val="1.9120881106261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59444040138751"/>
          <c:y val="9.5225500931954768E-2"/>
          <c:w val="0.83486709406204618"/>
          <c:h val="0.73483043729773334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'Final Outputs'!$B$4:$C$4</c:f>
              <c:strCache>
                <c:ptCount val="1"/>
                <c:pt idx="0">
                  <c:v>Power Sector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yVal>
            <c:numRef>
              <c:f>'Final Outputs'!$C$6:$C$105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58-4B53-A806-220785FDB274}"/>
            </c:ext>
          </c:extLst>
        </c:ser>
        <c:ser>
          <c:idx val="0"/>
          <c:order val="1"/>
          <c:tx>
            <c:strRef>
              <c:f>'Control Panel'!$N$21</c:f>
              <c:strCache>
                <c:ptCount val="1"/>
                <c:pt idx="0">
                  <c:v>Light-Duty Fleet</c:v>
                </c:pt>
              </c:strCache>
            </c:strRef>
          </c:tx>
          <c:spPr>
            <a:ln w="38100">
              <a:prstDash val="sysDot"/>
            </a:ln>
          </c:spPr>
          <c:marker>
            <c:symbol val="none"/>
          </c:marker>
          <c:xVal>
            <c:numRef>
              <c:f>'Final Outputs'!$A$6:$A$105</c:f>
              <c:numCache>
                <c:formatCode>General</c:formatCode>
                <c:ptCount val="100"/>
                <c:pt idx="0">
                  <c:v>0.99999999999999989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'Final Outputs'!$E$6:$E$105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58-4B53-A806-220785FDB274}"/>
            </c:ext>
          </c:extLst>
        </c:ser>
        <c:ser>
          <c:idx val="1"/>
          <c:order val="2"/>
          <c:tx>
            <c:strRef>
              <c:f>'Control Panel'!$N$22</c:f>
              <c:strCache>
                <c:ptCount val="1"/>
                <c:pt idx="0">
                  <c:v>Heavy-Duty Fleet</c:v>
                </c:pt>
              </c:strCache>
            </c:strRef>
          </c:tx>
          <c:spPr>
            <a:ln w="38100">
              <a:prstDash val="sysDash"/>
            </a:ln>
          </c:spPr>
          <c:marker>
            <c:symbol val="none"/>
          </c:marker>
          <c:yVal>
            <c:numRef>
              <c:f>'Final Outputs'!$G$6:$G$105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58-4B53-A806-220785FDB274}"/>
            </c:ext>
          </c:extLst>
        </c:ser>
        <c:ser>
          <c:idx val="4"/>
          <c:order val="3"/>
          <c:tx>
            <c:strRef>
              <c:f>'Final Outputs'!$H$4:$H$5</c:f>
              <c:strCache>
                <c:ptCount val="2"/>
                <c:pt idx="0">
                  <c:v>Other Sectors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yVal>
            <c:numRef>
              <c:f>'Final Outputs'!$H$6:$H$105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58-4B53-A806-220785FDB274}"/>
            </c:ext>
          </c:extLst>
        </c:ser>
        <c:ser>
          <c:idx val="3"/>
          <c:order val="4"/>
          <c:tx>
            <c:strRef>
              <c:f>'Final Outputs'!$I$4:$I$5</c:f>
              <c:strCache>
                <c:ptCount val="2"/>
                <c:pt idx="0">
                  <c:v>TOTAL</c:v>
                </c:pt>
              </c:strCache>
            </c:strRef>
          </c:tx>
          <c:spPr>
            <a:ln w="63500">
              <a:solidFill>
                <a:srgbClr val="C00000"/>
              </a:solidFill>
            </a:ln>
          </c:spPr>
          <c:marker>
            <c:symbol val="none"/>
          </c:marker>
          <c:yVal>
            <c:numRef>
              <c:f>'Final Outputs'!$I$6:$I$105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58-4B53-A806-220785FDB274}"/>
            </c:ext>
          </c:extLst>
        </c:ser>
        <c:ser>
          <c:idx val="5"/>
          <c:order val="5"/>
          <c:tx>
            <c:strRef>
              <c:f>'Final Outputs'!$M$5</c:f>
              <c:strCache>
                <c:ptCount val="1"/>
                <c:pt idx="0">
                  <c:v>Boundary for graph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yVal>
            <c:numRef>
              <c:f>'Final Outputs'!$M$6:$M$105</c:f>
              <c:numCache>
                <c:formatCode>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58-4B53-A806-220785FDB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143104"/>
        <c:axId val="166145408"/>
      </c:scatterChart>
      <c:valAx>
        <c:axId val="166143104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 sz="900" b="0"/>
                  <a:t>Year after Conversion</a:t>
                </a:r>
              </a:p>
            </c:rich>
          </c:tx>
          <c:layout>
            <c:manualLayout>
              <c:xMode val="edge"/>
              <c:yMode val="edge"/>
              <c:x val="0.45022647710685915"/>
              <c:y val="0.8844051988394868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en-US"/>
          </a:p>
        </c:txPr>
        <c:crossAx val="166145408"/>
        <c:crossesAt val="-9.9900000000000006E+300"/>
        <c:crossBetween val="midCat"/>
        <c:majorUnit val="10"/>
        <c:minorUnit val="5"/>
      </c:valAx>
      <c:valAx>
        <c:axId val="166145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50" b="0"/>
                </a:pPr>
                <a:r>
                  <a:rPr lang="en-US" sz="850" b="0" i="0" baseline="0"/>
                  <a:t>Climate Influence of U.S. GHG Emissions (%) relative to 2010 Emissions </a:t>
                </a:r>
              </a:p>
            </c:rich>
          </c:tx>
          <c:layout>
            <c:manualLayout>
              <c:xMode val="edge"/>
              <c:yMode val="edge"/>
              <c:x val="1.0993911746955881E-2"/>
              <c:y val="7.4558889804505424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614310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/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500" baseline="0"/>
      </a:pPr>
      <a:endParaRPr lang="en-US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CLIMATE INFLUENCE FROM YOUR ENERGY/POLICY CHOICES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20169426467172"/>
          <c:y val="0.10128380894592449"/>
          <c:w val="0.83486709406204618"/>
          <c:h val="0.73483043729773312"/>
        </c:manualLayout>
      </c:layout>
      <c:scatterChart>
        <c:scatterStyle val="lineMarker"/>
        <c:varyColors val="0"/>
        <c:ser>
          <c:idx val="2"/>
          <c:order val="0"/>
          <c:tx>
            <c:strRef>
              <c:f>'Final Outputs'!$B$4:$C$4</c:f>
              <c:strCache>
                <c:ptCount val="1"/>
                <c:pt idx="0">
                  <c:v>Power Sector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olid"/>
            </a:ln>
          </c:spPr>
          <c:marker>
            <c:symbol val="none"/>
          </c:marker>
          <c:yVal>
            <c:numRef>
              <c:f>'Final Outputs'!$C$6:$C$105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0-4EA5-9D75-E6AA9F18F82B}"/>
            </c:ext>
          </c:extLst>
        </c:ser>
        <c:ser>
          <c:idx val="0"/>
          <c:order val="1"/>
          <c:tx>
            <c:strRef>
              <c:f>'Control Panel'!$N$21</c:f>
              <c:strCache>
                <c:ptCount val="1"/>
                <c:pt idx="0">
                  <c:v>Light-Duty Fleet</c:v>
                </c:pt>
              </c:strCache>
            </c:strRef>
          </c:tx>
          <c:spPr>
            <a:ln w="38100">
              <a:prstDash val="sysDot"/>
            </a:ln>
          </c:spPr>
          <c:marker>
            <c:symbol val="none"/>
          </c:marker>
          <c:xVal>
            <c:numRef>
              <c:f>'Final Outputs'!$A$6:$A$105</c:f>
              <c:numCache>
                <c:formatCode>General</c:formatCode>
                <c:ptCount val="100"/>
                <c:pt idx="0">
                  <c:v>0.99999999999999989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'Final Outputs'!$E$6:$E$105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0-4EA5-9D75-E6AA9F18F82B}"/>
            </c:ext>
          </c:extLst>
        </c:ser>
        <c:ser>
          <c:idx val="1"/>
          <c:order val="2"/>
          <c:tx>
            <c:strRef>
              <c:f>'Control Panel'!$N$22</c:f>
              <c:strCache>
                <c:ptCount val="1"/>
                <c:pt idx="0">
                  <c:v>Heavy-Duty Fleet</c:v>
                </c:pt>
              </c:strCache>
            </c:strRef>
          </c:tx>
          <c:spPr>
            <a:ln w="38100">
              <a:prstDash val="sysDash"/>
            </a:ln>
          </c:spPr>
          <c:marker>
            <c:symbol val="none"/>
          </c:marker>
          <c:yVal>
            <c:numRef>
              <c:f>'Final Outputs'!$G$6:$G$105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0-4EA5-9D75-E6AA9F18F82B}"/>
            </c:ext>
          </c:extLst>
        </c:ser>
        <c:ser>
          <c:idx val="4"/>
          <c:order val="3"/>
          <c:tx>
            <c:strRef>
              <c:f>'Final Outputs'!$H$4:$H$5</c:f>
              <c:strCache>
                <c:ptCount val="2"/>
                <c:pt idx="0">
                  <c:v>Other Sectors</c:v>
                </c:pt>
              </c:strCache>
            </c:strRef>
          </c:tx>
          <c:spPr>
            <a:ln>
              <a:prstDash val="lgDash"/>
            </a:ln>
          </c:spPr>
          <c:marker>
            <c:symbol val="none"/>
          </c:marker>
          <c:yVal>
            <c:numRef>
              <c:f>'Final Outputs'!$H$6:$H$105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0-4EA5-9D75-E6AA9F18F82B}"/>
            </c:ext>
          </c:extLst>
        </c:ser>
        <c:ser>
          <c:idx val="3"/>
          <c:order val="4"/>
          <c:tx>
            <c:strRef>
              <c:f>'Final Outputs'!$I$4:$I$5</c:f>
              <c:strCache>
                <c:ptCount val="2"/>
                <c:pt idx="0">
                  <c:v>TOTAL</c:v>
                </c:pt>
              </c:strCache>
            </c:strRef>
          </c:tx>
          <c:spPr>
            <a:ln w="63500">
              <a:solidFill>
                <a:srgbClr val="C00000"/>
              </a:solidFill>
            </a:ln>
          </c:spPr>
          <c:marker>
            <c:symbol val="none"/>
          </c:marker>
          <c:yVal>
            <c:numRef>
              <c:f>'Final Outputs'!$I$6:$I$105</c:f>
              <c:numCache>
                <c:formatCode>0.00%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0-4EA5-9D75-E6AA9F18F82B}"/>
            </c:ext>
          </c:extLst>
        </c:ser>
        <c:ser>
          <c:idx val="5"/>
          <c:order val="5"/>
          <c:tx>
            <c:strRef>
              <c:f>'Final Outputs'!$M$5</c:f>
              <c:strCache>
                <c:ptCount val="1"/>
                <c:pt idx="0">
                  <c:v>Boundary for graph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yVal>
            <c:numRef>
              <c:f>'Final Outputs'!$M$6:$M$105</c:f>
              <c:numCache>
                <c:formatCode>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0-4EA5-9D75-E6AA9F18F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393408"/>
        <c:axId val="171395328"/>
      </c:scatterChart>
      <c:valAx>
        <c:axId val="1713934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Year after Conversion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100"/>
            </a:pPr>
            <a:endParaRPr lang="en-US"/>
          </a:p>
        </c:txPr>
        <c:crossAx val="171395328"/>
        <c:crossesAt val="-9.9900000000000006E+300"/>
        <c:crossBetween val="midCat"/>
        <c:majorUnit val="10"/>
        <c:minorUnit val="5"/>
      </c:valAx>
      <c:valAx>
        <c:axId val="17139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 i="0" baseline="0"/>
                  <a:t>Climate Influence of U.S. GHG Emissions (%) relative to 2010 Emissions </a:t>
                </a:r>
              </a:p>
            </c:rich>
          </c:tx>
          <c:layout>
            <c:manualLayout>
              <c:xMode val="edge"/>
              <c:yMode val="edge"/>
              <c:x val="1.8619772203429866E-2"/>
              <c:y val="0.11598755402737045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7139340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500" baseline="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Natural</a:t>
            </a:r>
            <a:r>
              <a:rPr lang="en-US" baseline="0"/>
              <a:t> Gas </a:t>
            </a:r>
            <a:r>
              <a:rPr lang="en-US"/>
              <a:t>Cross-Over Leak Rate by Sector from</a:t>
            </a:r>
            <a:r>
              <a:rPr lang="en-US" baseline="0"/>
              <a:t> Your Energy/Policy Choices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Power (Well to City Gate)</c:v>
          </c:tx>
          <c:marker>
            <c:symbol val="none"/>
          </c:marker>
          <c:xVal>
            <c:numRef>
              <c:f>'Cross-Over L Calcs'!$A$24:$A$132</c:f>
              <c:numCache>
                <c:formatCode>General</c:formatCode>
                <c:ptCount val="109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  <c:pt idx="58">
                  <c:v>50</c:v>
                </c:pt>
                <c:pt idx="59">
                  <c:v>51</c:v>
                </c:pt>
                <c:pt idx="60">
                  <c:v>52</c:v>
                </c:pt>
                <c:pt idx="61">
                  <c:v>53</c:v>
                </c:pt>
                <c:pt idx="62">
                  <c:v>54</c:v>
                </c:pt>
                <c:pt idx="63">
                  <c:v>55</c:v>
                </c:pt>
                <c:pt idx="64">
                  <c:v>56</c:v>
                </c:pt>
                <c:pt idx="65">
                  <c:v>57</c:v>
                </c:pt>
                <c:pt idx="66">
                  <c:v>58</c:v>
                </c:pt>
                <c:pt idx="67">
                  <c:v>59</c:v>
                </c:pt>
                <c:pt idx="68">
                  <c:v>60</c:v>
                </c:pt>
                <c:pt idx="69">
                  <c:v>61</c:v>
                </c:pt>
                <c:pt idx="70">
                  <c:v>62</c:v>
                </c:pt>
                <c:pt idx="71">
                  <c:v>63</c:v>
                </c:pt>
                <c:pt idx="72">
                  <c:v>64</c:v>
                </c:pt>
                <c:pt idx="73">
                  <c:v>65</c:v>
                </c:pt>
                <c:pt idx="74">
                  <c:v>66</c:v>
                </c:pt>
                <c:pt idx="75">
                  <c:v>67</c:v>
                </c:pt>
                <c:pt idx="76">
                  <c:v>68</c:v>
                </c:pt>
                <c:pt idx="77">
                  <c:v>69</c:v>
                </c:pt>
                <c:pt idx="78">
                  <c:v>70</c:v>
                </c:pt>
                <c:pt idx="79">
                  <c:v>71</c:v>
                </c:pt>
                <c:pt idx="80">
                  <c:v>72</c:v>
                </c:pt>
                <c:pt idx="81">
                  <c:v>73</c:v>
                </c:pt>
                <c:pt idx="82">
                  <c:v>74</c:v>
                </c:pt>
                <c:pt idx="83">
                  <c:v>75</c:v>
                </c:pt>
                <c:pt idx="84">
                  <c:v>76</c:v>
                </c:pt>
                <c:pt idx="85">
                  <c:v>77</c:v>
                </c:pt>
                <c:pt idx="86">
                  <c:v>78</c:v>
                </c:pt>
                <c:pt idx="87">
                  <c:v>79</c:v>
                </c:pt>
                <c:pt idx="88">
                  <c:v>80</c:v>
                </c:pt>
                <c:pt idx="89">
                  <c:v>81</c:v>
                </c:pt>
                <c:pt idx="90">
                  <c:v>82</c:v>
                </c:pt>
                <c:pt idx="91">
                  <c:v>83</c:v>
                </c:pt>
                <c:pt idx="92">
                  <c:v>84</c:v>
                </c:pt>
                <c:pt idx="93">
                  <c:v>85</c:v>
                </c:pt>
                <c:pt idx="94">
                  <c:v>86</c:v>
                </c:pt>
                <c:pt idx="95">
                  <c:v>87</c:v>
                </c:pt>
                <c:pt idx="96">
                  <c:v>88</c:v>
                </c:pt>
                <c:pt idx="97">
                  <c:v>89</c:v>
                </c:pt>
                <c:pt idx="98">
                  <c:v>90</c:v>
                </c:pt>
                <c:pt idx="99">
                  <c:v>91</c:v>
                </c:pt>
                <c:pt idx="100">
                  <c:v>92</c:v>
                </c:pt>
                <c:pt idx="101">
                  <c:v>93</c:v>
                </c:pt>
                <c:pt idx="102">
                  <c:v>94</c:v>
                </c:pt>
                <c:pt idx="103">
                  <c:v>95</c:v>
                </c:pt>
                <c:pt idx="104">
                  <c:v>96</c:v>
                </c:pt>
                <c:pt idx="105">
                  <c:v>97</c:v>
                </c:pt>
                <c:pt idx="106">
                  <c:v>98</c:v>
                </c:pt>
                <c:pt idx="107">
                  <c:v>99</c:v>
                </c:pt>
                <c:pt idx="108">
                  <c:v>100</c:v>
                </c:pt>
              </c:numCache>
            </c:numRef>
          </c:xVal>
          <c:yVal>
            <c:numRef>
              <c:f>'Cross-Over L Calcs'!$B$24:$B$132</c:f>
              <c:numCache>
                <c:formatCode>0.00%</c:formatCode>
                <c:ptCount val="109"/>
                <c:pt idx="0">
                  <c:v>2.0000000000000014E-2</c:v>
                </c:pt>
                <c:pt idx="1">
                  <c:v>2.0000000000000014E-2</c:v>
                </c:pt>
                <c:pt idx="2">
                  <c:v>2.0000000000000014E-2</c:v>
                </c:pt>
                <c:pt idx="3">
                  <c:v>2.0000000000000014E-2</c:v>
                </c:pt>
                <c:pt idx="4">
                  <c:v>2.0000000000000014E-2</c:v>
                </c:pt>
                <c:pt idx="5">
                  <c:v>2.0000000000000014E-2</c:v>
                </c:pt>
                <c:pt idx="6">
                  <c:v>2.0000000000000014E-2</c:v>
                </c:pt>
                <c:pt idx="7">
                  <c:v>2.0000000000000014E-2</c:v>
                </c:pt>
                <c:pt idx="8">
                  <c:v>2.0000000000000014E-2</c:v>
                </c:pt>
                <c:pt idx="9">
                  <c:v>2.0000000000000014E-2</c:v>
                </c:pt>
                <c:pt idx="10">
                  <c:v>2.0000000000000014E-2</c:v>
                </c:pt>
                <c:pt idx="11">
                  <c:v>2.0000000000000014E-2</c:v>
                </c:pt>
                <c:pt idx="12">
                  <c:v>2.0000000000000014E-2</c:v>
                </c:pt>
                <c:pt idx="13">
                  <c:v>2.0000000000000014E-2</c:v>
                </c:pt>
                <c:pt idx="14">
                  <c:v>2.0000000000000014E-2</c:v>
                </c:pt>
                <c:pt idx="15">
                  <c:v>2.0000000000000014E-2</c:v>
                </c:pt>
                <c:pt idx="16">
                  <c:v>2.0000000000000014E-2</c:v>
                </c:pt>
                <c:pt idx="17">
                  <c:v>2.0000000000000014E-2</c:v>
                </c:pt>
                <c:pt idx="18">
                  <c:v>2.0000000000000014E-2</c:v>
                </c:pt>
                <c:pt idx="19">
                  <c:v>2.0000000000000014E-2</c:v>
                </c:pt>
                <c:pt idx="20">
                  <c:v>2.0000000000000014E-2</c:v>
                </c:pt>
                <c:pt idx="21">
                  <c:v>2.0000000000000014E-2</c:v>
                </c:pt>
                <c:pt idx="22">
                  <c:v>2.0000000000000014E-2</c:v>
                </c:pt>
                <c:pt idx="23">
                  <c:v>2.0000000000000014E-2</c:v>
                </c:pt>
                <c:pt idx="24">
                  <c:v>2.0000000000000014E-2</c:v>
                </c:pt>
                <c:pt idx="25">
                  <c:v>2.0000000000000014E-2</c:v>
                </c:pt>
                <c:pt idx="26">
                  <c:v>2.0000000000000014E-2</c:v>
                </c:pt>
                <c:pt idx="27">
                  <c:v>2.0000000000000014E-2</c:v>
                </c:pt>
                <c:pt idx="28">
                  <c:v>2.0000000000000014E-2</c:v>
                </c:pt>
                <c:pt idx="29">
                  <c:v>2.0000000000000014E-2</c:v>
                </c:pt>
                <c:pt idx="30">
                  <c:v>2.0000000000000014E-2</c:v>
                </c:pt>
                <c:pt idx="31">
                  <c:v>2.0000000000000014E-2</c:v>
                </c:pt>
                <c:pt idx="32">
                  <c:v>2.0000000000000014E-2</c:v>
                </c:pt>
                <c:pt idx="33">
                  <c:v>2.0000000000000018E-2</c:v>
                </c:pt>
                <c:pt idx="34">
                  <c:v>2.0000000000000018E-2</c:v>
                </c:pt>
                <c:pt idx="35">
                  <c:v>2.0000000000000018E-2</c:v>
                </c:pt>
                <c:pt idx="36">
                  <c:v>2.0000000000000018E-2</c:v>
                </c:pt>
                <c:pt idx="37">
                  <c:v>2.0000000000000018E-2</c:v>
                </c:pt>
                <c:pt idx="38">
                  <c:v>2.0000000000000018E-2</c:v>
                </c:pt>
                <c:pt idx="39">
                  <c:v>2.0000000000000018E-2</c:v>
                </c:pt>
                <c:pt idx="40">
                  <c:v>2.0000000000000018E-2</c:v>
                </c:pt>
                <c:pt idx="41">
                  <c:v>2.0000000000000018E-2</c:v>
                </c:pt>
                <c:pt idx="42">
                  <c:v>2.0000000000000018E-2</c:v>
                </c:pt>
                <c:pt idx="43">
                  <c:v>2.0000000000000018E-2</c:v>
                </c:pt>
                <c:pt idx="44">
                  <c:v>2.0000000000000018E-2</c:v>
                </c:pt>
                <c:pt idx="45">
                  <c:v>2.0000000000000018E-2</c:v>
                </c:pt>
                <c:pt idx="46">
                  <c:v>2.0000000000000018E-2</c:v>
                </c:pt>
                <c:pt idx="47">
                  <c:v>2.0000000000000018E-2</c:v>
                </c:pt>
                <c:pt idx="48">
                  <c:v>2.0000000000000018E-2</c:v>
                </c:pt>
                <c:pt idx="49">
                  <c:v>2.0000000000000018E-2</c:v>
                </c:pt>
                <c:pt idx="50">
                  <c:v>2.0000000000000018E-2</c:v>
                </c:pt>
                <c:pt idx="51">
                  <c:v>2.0000000000000021E-2</c:v>
                </c:pt>
                <c:pt idx="52">
                  <c:v>2.0000000000000021E-2</c:v>
                </c:pt>
                <c:pt idx="53">
                  <c:v>2.0000000000000021E-2</c:v>
                </c:pt>
                <c:pt idx="54">
                  <c:v>2.0000000000000021E-2</c:v>
                </c:pt>
                <c:pt idx="55">
                  <c:v>2.0000000000000021E-2</c:v>
                </c:pt>
                <c:pt idx="56">
                  <c:v>2.0000000000000021E-2</c:v>
                </c:pt>
                <c:pt idx="57">
                  <c:v>2.0000000000000021E-2</c:v>
                </c:pt>
                <c:pt idx="58">
                  <c:v>2.0000000000000021E-2</c:v>
                </c:pt>
                <c:pt idx="59">
                  <c:v>2.0000000000000021E-2</c:v>
                </c:pt>
                <c:pt idx="60">
                  <c:v>2.0000000000000021E-2</c:v>
                </c:pt>
                <c:pt idx="61">
                  <c:v>2.0000000000000021E-2</c:v>
                </c:pt>
                <c:pt idx="62">
                  <c:v>2.0000000000000021E-2</c:v>
                </c:pt>
                <c:pt idx="63">
                  <c:v>2.0000000000000021E-2</c:v>
                </c:pt>
                <c:pt idx="64">
                  <c:v>2.0000000000000021E-2</c:v>
                </c:pt>
                <c:pt idx="65">
                  <c:v>2.0000000000000021E-2</c:v>
                </c:pt>
                <c:pt idx="66">
                  <c:v>2.0000000000000021E-2</c:v>
                </c:pt>
                <c:pt idx="67">
                  <c:v>2.0000000000000021E-2</c:v>
                </c:pt>
                <c:pt idx="68">
                  <c:v>2.0000000000000021E-2</c:v>
                </c:pt>
                <c:pt idx="69">
                  <c:v>2.0000000000000028E-2</c:v>
                </c:pt>
                <c:pt idx="70">
                  <c:v>2.0000000000000028E-2</c:v>
                </c:pt>
                <c:pt idx="71">
                  <c:v>2.0000000000000028E-2</c:v>
                </c:pt>
                <c:pt idx="72">
                  <c:v>2.0000000000000028E-2</c:v>
                </c:pt>
                <c:pt idx="73">
                  <c:v>2.0000000000000028E-2</c:v>
                </c:pt>
                <c:pt idx="74">
                  <c:v>2.0000000000000028E-2</c:v>
                </c:pt>
                <c:pt idx="75">
                  <c:v>2.0000000000000028E-2</c:v>
                </c:pt>
                <c:pt idx="76">
                  <c:v>2.0000000000000028E-2</c:v>
                </c:pt>
                <c:pt idx="77">
                  <c:v>2.0000000000000028E-2</c:v>
                </c:pt>
                <c:pt idx="78">
                  <c:v>2.0000000000000028E-2</c:v>
                </c:pt>
                <c:pt idx="79">
                  <c:v>2.0000000000000028E-2</c:v>
                </c:pt>
                <c:pt idx="80">
                  <c:v>2.0000000000000028E-2</c:v>
                </c:pt>
                <c:pt idx="81">
                  <c:v>2.0000000000000028E-2</c:v>
                </c:pt>
                <c:pt idx="82">
                  <c:v>2.0000000000000028E-2</c:v>
                </c:pt>
                <c:pt idx="83">
                  <c:v>2.0000000000000028E-2</c:v>
                </c:pt>
                <c:pt idx="84">
                  <c:v>2.0000000000000028E-2</c:v>
                </c:pt>
                <c:pt idx="85">
                  <c:v>2.0000000000000028E-2</c:v>
                </c:pt>
                <c:pt idx="86">
                  <c:v>2.0000000000000028E-2</c:v>
                </c:pt>
                <c:pt idx="87">
                  <c:v>2.0000000000000032E-2</c:v>
                </c:pt>
                <c:pt idx="88">
                  <c:v>2.0000000000000032E-2</c:v>
                </c:pt>
                <c:pt idx="89">
                  <c:v>2.0000000000000032E-2</c:v>
                </c:pt>
                <c:pt idx="90">
                  <c:v>2.0000000000000032E-2</c:v>
                </c:pt>
                <c:pt idx="91">
                  <c:v>2.0000000000000032E-2</c:v>
                </c:pt>
                <c:pt idx="92">
                  <c:v>2.0000000000000032E-2</c:v>
                </c:pt>
                <c:pt idx="93">
                  <c:v>2.0000000000000032E-2</c:v>
                </c:pt>
                <c:pt idx="94">
                  <c:v>2.0000000000000032E-2</c:v>
                </c:pt>
                <c:pt idx="95">
                  <c:v>2.0000000000000032E-2</c:v>
                </c:pt>
                <c:pt idx="96">
                  <c:v>2.0000000000000032E-2</c:v>
                </c:pt>
                <c:pt idx="97">
                  <c:v>2.0000000000000032E-2</c:v>
                </c:pt>
                <c:pt idx="98">
                  <c:v>2.0000000000000032E-2</c:v>
                </c:pt>
                <c:pt idx="99">
                  <c:v>2.0000000000000032E-2</c:v>
                </c:pt>
                <c:pt idx="100">
                  <c:v>2.0000000000000032E-2</c:v>
                </c:pt>
                <c:pt idx="101">
                  <c:v>2.0000000000000032E-2</c:v>
                </c:pt>
                <c:pt idx="102">
                  <c:v>2.0000000000000032E-2</c:v>
                </c:pt>
                <c:pt idx="103">
                  <c:v>2.0000000000000032E-2</c:v>
                </c:pt>
                <c:pt idx="104">
                  <c:v>2.0000000000000032E-2</c:v>
                </c:pt>
                <c:pt idx="105">
                  <c:v>2.0000000000000032E-2</c:v>
                </c:pt>
                <c:pt idx="106">
                  <c:v>2.0000000000000035E-2</c:v>
                </c:pt>
                <c:pt idx="107">
                  <c:v>2.0000000000000035E-2</c:v>
                </c:pt>
                <c:pt idx="108">
                  <c:v>2.0000000000000035E-2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92-4A2A-9C7E-919DB090D469}"/>
            </c:ext>
          </c:extLst>
        </c:ser>
        <c:ser>
          <c:idx val="1"/>
          <c:order val="1"/>
          <c:tx>
            <c:v>Light-Duty (Well to Wheels)</c:v>
          </c:tx>
          <c:marker>
            <c:symbol val="none"/>
          </c:marker>
          <c:xVal>
            <c:numRef>
              <c:f>'Cross-Over L Calcs'!$A$24:$A$132</c:f>
              <c:numCache>
                <c:formatCode>General</c:formatCode>
                <c:ptCount val="109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  <c:pt idx="58">
                  <c:v>50</c:v>
                </c:pt>
                <c:pt idx="59">
                  <c:v>51</c:v>
                </c:pt>
                <c:pt idx="60">
                  <c:v>52</c:v>
                </c:pt>
                <c:pt idx="61">
                  <c:v>53</c:v>
                </c:pt>
                <c:pt idx="62">
                  <c:v>54</c:v>
                </c:pt>
                <c:pt idx="63">
                  <c:v>55</c:v>
                </c:pt>
                <c:pt idx="64">
                  <c:v>56</c:v>
                </c:pt>
                <c:pt idx="65">
                  <c:v>57</c:v>
                </c:pt>
                <c:pt idx="66">
                  <c:v>58</c:v>
                </c:pt>
                <c:pt idx="67">
                  <c:v>59</c:v>
                </c:pt>
                <c:pt idx="68">
                  <c:v>60</c:v>
                </c:pt>
                <c:pt idx="69">
                  <c:v>61</c:v>
                </c:pt>
                <c:pt idx="70">
                  <c:v>62</c:v>
                </c:pt>
                <c:pt idx="71">
                  <c:v>63</c:v>
                </c:pt>
                <c:pt idx="72">
                  <c:v>64</c:v>
                </c:pt>
                <c:pt idx="73">
                  <c:v>65</c:v>
                </c:pt>
                <c:pt idx="74">
                  <c:v>66</c:v>
                </c:pt>
                <c:pt idx="75">
                  <c:v>67</c:v>
                </c:pt>
                <c:pt idx="76">
                  <c:v>68</c:v>
                </c:pt>
                <c:pt idx="77">
                  <c:v>69</c:v>
                </c:pt>
                <c:pt idx="78">
                  <c:v>70</c:v>
                </c:pt>
                <c:pt idx="79">
                  <c:v>71</c:v>
                </c:pt>
                <c:pt idx="80">
                  <c:v>72</c:v>
                </c:pt>
                <c:pt idx="81">
                  <c:v>73</c:v>
                </c:pt>
                <c:pt idx="82">
                  <c:v>74</c:v>
                </c:pt>
                <c:pt idx="83">
                  <c:v>75</c:v>
                </c:pt>
                <c:pt idx="84">
                  <c:v>76</c:v>
                </c:pt>
                <c:pt idx="85">
                  <c:v>77</c:v>
                </c:pt>
                <c:pt idx="86">
                  <c:v>78</c:v>
                </c:pt>
                <c:pt idx="87">
                  <c:v>79</c:v>
                </c:pt>
                <c:pt idx="88">
                  <c:v>80</c:v>
                </c:pt>
                <c:pt idx="89">
                  <c:v>81</c:v>
                </c:pt>
                <c:pt idx="90">
                  <c:v>82</c:v>
                </c:pt>
                <c:pt idx="91">
                  <c:v>83</c:v>
                </c:pt>
                <c:pt idx="92">
                  <c:v>84</c:v>
                </c:pt>
                <c:pt idx="93">
                  <c:v>85</c:v>
                </c:pt>
                <c:pt idx="94">
                  <c:v>86</c:v>
                </c:pt>
                <c:pt idx="95">
                  <c:v>87</c:v>
                </c:pt>
                <c:pt idx="96">
                  <c:v>88</c:v>
                </c:pt>
                <c:pt idx="97">
                  <c:v>89</c:v>
                </c:pt>
                <c:pt idx="98">
                  <c:v>90</c:v>
                </c:pt>
                <c:pt idx="99">
                  <c:v>91</c:v>
                </c:pt>
                <c:pt idx="100">
                  <c:v>92</c:v>
                </c:pt>
                <c:pt idx="101">
                  <c:v>93</c:v>
                </c:pt>
                <c:pt idx="102">
                  <c:v>94</c:v>
                </c:pt>
                <c:pt idx="103">
                  <c:v>95</c:v>
                </c:pt>
                <c:pt idx="104">
                  <c:v>96</c:v>
                </c:pt>
                <c:pt idx="105">
                  <c:v>97</c:v>
                </c:pt>
                <c:pt idx="106">
                  <c:v>98</c:v>
                </c:pt>
                <c:pt idx="107">
                  <c:v>99</c:v>
                </c:pt>
                <c:pt idx="108">
                  <c:v>100</c:v>
                </c:pt>
              </c:numCache>
            </c:numRef>
          </c:xVal>
          <c:yVal>
            <c:numRef>
              <c:f>'Cross-Over L Calcs'!$C$24:$C$132</c:f>
              <c:numCache>
                <c:formatCode>0.00%</c:formatCode>
                <c:ptCount val="109"/>
                <c:pt idx="0">
                  <c:v>2.8000000000000014E-2</c:v>
                </c:pt>
                <c:pt idx="1">
                  <c:v>2.8000000000000014E-2</c:v>
                </c:pt>
                <c:pt idx="2">
                  <c:v>2.8000000000000014E-2</c:v>
                </c:pt>
                <c:pt idx="3">
                  <c:v>2.8000000000000014E-2</c:v>
                </c:pt>
                <c:pt idx="4">
                  <c:v>2.8000000000000014E-2</c:v>
                </c:pt>
                <c:pt idx="5">
                  <c:v>2.8000000000000014E-2</c:v>
                </c:pt>
                <c:pt idx="6">
                  <c:v>2.8000000000000014E-2</c:v>
                </c:pt>
                <c:pt idx="7">
                  <c:v>2.8000000000000014E-2</c:v>
                </c:pt>
                <c:pt idx="8">
                  <c:v>2.8000000000000014E-2</c:v>
                </c:pt>
                <c:pt idx="9">
                  <c:v>2.8000000000000014E-2</c:v>
                </c:pt>
                <c:pt idx="10">
                  <c:v>2.8000000000000014E-2</c:v>
                </c:pt>
                <c:pt idx="11">
                  <c:v>2.8000000000000014E-2</c:v>
                </c:pt>
                <c:pt idx="12">
                  <c:v>2.8000000000000014E-2</c:v>
                </c:pt>
                <c:pt idx="13">
                  <c:v>2.8000000000000014E-2</c:v>
                </c:pt>
                <c:pt idx="14">
                  <c:v>2.8000000000000014E-2</c:v>
                </c:pt>
                <c:pt idx="15">
                  <c:v>2.8000000000000014E-2</c:v>
                </c:pt>
                <c:pt idx="16">
                  <c:v>2.8000000000000014E-2</c:v>
                </c:pt>
                <c:pt idx="17">
                  <c:v>2.8000000000000014E-2</c:v>
                </c:pt>
                <c:pt idx="18">
                  <c:v>2.8000000000000014E-2</c:v>
                </c:pt>
                <c:pt idx="19">
                  <c:v>2.8000000000000014E-2</c:v>
                </c:pt>
                <c:pt idx="20">
                  <c:v>2.8000000000000014E-2</c:v>
                </c:pt>
                <c:pt idx="21">
                  <c:v>2.8000000000000014E-2</c:v>
                </c:pt>
                <c:pt idx="22">
                  <c:v>2.8000000000000014E-2</c:v>
                </c:pt>
                <c:pt idx="23">
                  <c:v>2.8000000000000014E-2</c:v>
                </c:pt>
                <c:pt idx="24">
                  <c:v>2.8000000000000014E-2</c:v>
                </c:pt>
                <c:pt idx="25">
                  <c:v>2.8000000000000014E-2</c:v>
                </c:pt>
                <c:pt idx="26">
                  <c:v>2.8000000000000014E-2</c:v>
                </c:pt>
                <c:pt idx="27">
                  <c:v>2.8000000000000014E-2</c:v>
                </c:pt>
                <c:pt idx="28">
                  <c:v>2.8000000000000014E-2</c:v>
                </c:pt>
                <c:pt idx="29">
                  <c:v>2.8000000000000014E-2</c:v>
                </c:pt>
                <c:pt idx="30">
                  <c:v>2.8000000000000014E-2</c:v>
                </c:pt>
                <c:pt idx="31">
                  <c:v>2.8000000000000014E-2</c:v>
                </c:pt>
                <c:pt idx="32">
                  <c:v>2.8000000000000014E-2</c:v>
                </c:pt>
                <c:pt idx="33">
                  <c:v>2.8000000000000014E-2</c:v>
                </c:pt>
                <c:pt idx="34">
                  <c:v>2.8000000000000014E-2</c:v>
                </c:pt>
                <c:pt idx="35">
                  <c:v>2.8000000000000014E-2</c:v>
                </c:pt>
                <c:pt idx="36">
                  <c:v>2.8000000000000014E-2</c:v>
                </c:pt>
                <c:pt idx="37">
                  <c:v>2.8000000000000014E-2</c:v>
                </c:pt>
                <c:pt idx="38">
                  <c:v>2.8000000000000014E-2</c:v>
                </c:pt>
                <c:pt idx="39">
                  <c:v>2.8000000000000014E-2</c:v>
                </c:pt>
                <c:pt idx="40">
                  <c:v>2.8000000000000014E-2</c:v>
                </c:pt>
                <c:pt idx="41">
                  <c:v>2.8000000000000014E-2</c:v>
                </c:pt>
                <c:pt idx="42">
                  <c:v>2.8000000000000014E-2</c:v>
                </c:pt>
                <c:pt idx="43">
                  <c:v>2.8000000000000014E-2</c:v>
                </c:pt>
                <c:pt idx="44">
                  <c:v>2.8000000000000014E-2</c:v>
                </c:pt>
                <c:pt idx="45">
                  <c:v>2.8000000000000014E-2</c:v>
                </c:pt>
                <c:pt idx="46">
                  <c:v>2.8000000000000014E-2</c:v>
                </c:pt>
                <c:pt idx="47">
                  <c:v>2.8000000000000014E-2</c:v>
                </c:pt>
                <c:pt idx="48">
                  <c:v>2.8000000000000014E-2</c:v>
                </c:pt>
                <c:pt idx="49">
                  <c:v>2.8000000000000014E-2</c:v>
                </c:pt>
                <c:pt idx="50">
                  <c:v>2.8000000000000014E-2</c:v>
                </c:pt>
                <c:pt idx="51">
                  <c:v>2.8000000000000014E-2</c:v>
                </c:pt>
                <c:pt idx="52">
                  <c:v>2.8000000000000014E-2</c:v>
                </c:pt>
                <c:pt idx="53">
                  <c:v>2.8000000000000014E-2</c:v>
                </c:pt>
                <c:pt idx="54">
                  <c:v>2.8000000000000014E-2</c:v>
                </c:pt>
                <c:pt idx="55">
                  <c:v>2.8000000000000014E-2</c:v>
                </c:pt>
                <c:pt idx="56">
                  <c:v>2.8000000000000014E-2</c:v>
                </c:pt>
                <c:pt idx="57">
                  <c:v>2.8000000000000014E-2</c:v>
                </c:pt>
                <c:pt idx="58">
                  <c:v>2.8000000000000014E-2</c:v>
                </c:pt>
                <c:pt idx="59">
                  <c:v>2.8000000000000014E-2</c:v>
                </c:pt>
                <c:pt idx="60">
                  <c:v>2.8000000000000014E-2</c:v>
                </c:pt>
                <c:pt idx="61">
                  <c:v>2.8000000000000014E-2</c:v>
                </c:pt>
                <c:pt idx="62">
                  <c:v>2.8000000000000014E-2</c:v>
                </c:pt>
                <c:pt idx="63">
                  <c:v>2.8000000000000014E-2</c:v>
                </c:pt>
                <c:pt idx="64">
                  <c:v>2.8000000000000014E-2</c:v>
                </c:pt>
                <c:pt idx="65">
                  <c:v>2.8000000000000014E-2</c:v>
                </c:pt>
                <c:pt idx="66">
                  <c:v>2.8000000000000014E-2</c:v>
                </c:pt>
                <c:pt idx="67">
                  <c:v>2.8000000000000014E-2</c:v>
                </c:pt>
                <c:pt idx="68">
                  <c:v>2.8000000000000014E-2</c:v>
                </c:pt>
                <c:pt idx="69">
                  <c:v>2.8000000000000014E-2</c:v>
                </c:pt>
                <c:pt idx="70">
                  <c:v>2.8000000000000014E-2</c:v>
                </c:pt>
                <c:pt idx="71">
                  <c:v>2.8000000000000014E-2</c:v>
                </c:pt>
                <c:pt idx="72">
                  <c:v>2.8000000000000014E-2</c:v>
                </c:pt>
                <c:pt idx="73">
                  <c:v>2.8000000000000014E-2</c:v>
                </c:pt>
                <c:pt idx="74">
                  <c:v>2.8000000000000014E-2</c:v>
                </c:pt>
                <c:pt idx="75">
                  <c:v>2.8000000000000014E-2</c:v>
                </c:pt>
                <c:pt idx="76">
                  <c:v>2.8000000000000014E-2</c:v>
                </c:pt>
                <c:pt idx="77">
                  <c:v>2.8000000000000014E-2</c:v>
                </c:pt>
                <c:pt idx="78">
                  <c:v>2.8000000000000014E-2</c:v>
                </c:pt>
                <c:pt idx="79">
                  <c:v>2.8000000000000014E-2</c:v>
                </c:pt>
                <c:pt idx="80">
                  <c:v>2.8000000000000014E-2</c:v>
                </c:pt>
                <c:pt idx="81">
                  <c:v>2.8000000000000014E-2</c:v>
                </c:pt>
                <c:pt idx="82">
                  <c:v>2.8000000000000014E-2</c:v>
                </c:pt>
                <c:pt idx="83">
                  <c:v>2.8000000000000014E-2</c:v>
                </c:pt>
                <c:pt idx="84">
                  <c:v>2.8000000000000014E-2</c:v>
                </c:pt>
                <c:pt idx="85">
                  <c:v>2.8000000000000014E-2</c:v>
                </c:pt>
                <c:pt idx="86">
                  <c:v>2.8000000000000014E-2</c:v>
                </c:pt>
                <c:pt idx="87">
                  <c:v>2.8000000000000014E-2</c:v>
                </c:pt>
                <c:pt idx="88">
                  <c:v>2.8000000000000014E-2</c:v>
                </c:pt>
                <c:pt idx="89">
                  <c:v>2.8000000000000014E-2</c:v>
                </c:pt>
                <c:pt idx="90">
                  <c:v>2.8000000000000014E-2</c:v>
                </c:pt>
                <c:pt idx="91">
                  <c:v>2.8000000000000014E-2</c:v>
                </c:pt>
                <c:pt idx="92">
                  <c:v>2.8000000000000014E-2</c:v>
                </c:pt>
                <c:pt idx="93">
                  <c:v>2.8000000000000014E-2</c:v>
                </c:pt>
                <c:pt idx="94">
                  <c:v>2.8000000000000014E-2</c:v>
                </c:pt>
                <c:pt idx="95">
                  <c:v>2.8000000000000014E-2</c:v>
                </c:pt>
                <c:pt idx="96">
                  <c:v>2.8000000000000014E-2</c:v>
                </c:pt>
                <c:pt idx="97">
                  <c:v>2.8000000000000014E-2</c:v>
                </c:pt>
                <c:pt idx="98">
                  <c:v>2.8000000000000014E-2</c:v>
                </c:pt>
                <c:pt idx="99">
                  <c:v>2.8000000000000014E-2</c:v>
                </c:pt>
                <c:pt idx="100">
                  <c:v>2.8000000000000014E-2</c:v>
                </c:pt>
                <c:pt idx="101">
                  <c:v>2.8000000000000014E-2</c:v>
                </c:pt>
                <c:pt idx="102">
                  <c:v>2.8000000000000014E-2</c:v>
                </c:pt>
                <c:pt idx="103">
                  <c:v>2.8000000000000014E-2</c:v>
                </c:pt>
                <c:pt idx="104">
                  <c:v>2.8000000000000014E-2</c:v>
                </c:pt>
                <c:pt idx="105">
                  <c:v>2.8000000000000014E-2</c:v>
                </c:pt>
                <c:pt idx="106">
                  <c:v>2.8000000000000014E-2</c:v>
                </c:pt>
                <c:pt idx="107">
                  <c:v>2.8000000000000014E-2</c:v>
                </c:pt>
                <c:pt idx="108">
                  <c:v>2.8000000000000014E-2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92-4A2A-9C7E-919DB090D469}"/>
            </c:ext>
          </c:extLst>
        </c:ser>
        <c:ser>
          <c:idx val="2"/>
          <c:order val="2"/>
          <c:tx>
            <c:v>Heavy-Duty (Well to Wheels)</c:v>
          </c:tx>
          <c:marker>
            <c:symbol val="none"/>
          </c:marker>
          <c:xVal>
            <c:numRef>
              <c:f>'Cross-Over L Calcs'!$A$24:$A$132</c:f>
              <c:numCache>
                <c:formatCode>General</c:formatCode>
                <c:ptCount val="109"/>
                <c:pt idx="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>
                  <c:v>0.99999999999999989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  <c:pt idx="54">
                  <c:v>46</c:v>
                </c:pt>
                <c:pt idx="55">
                  <c:v>47</c:v>
                </c:pt>
                <c:pt idx="56">
                  <c:v>48</c:v>
                </c:pt>
                <c:pt idx="57">
                  <c:v>49</c:v>
                </c:pt>
                <c:pt idx="58">
                  <c:v>50</c:v>
                </c:pt>
                <c:pt idx="59">
                  <c:v>51</c:v>
                </c:pt>
                <c:pt idx="60">
                  <c:v>52</c:v>
                </c:pt>
                <c:pt idx="61">
                  <c:v>53</c:v>
                </c:pt>
                <c:pt idx="62">
                  <c:v>54</c:v>
                </c:pt>
                <c:pt idx="63">
                  <c:v>55</c:v>
                </c:pt>
                <c:pt idx="64">
                  <c:v>56</c:v>
                </c:pt>
                <c:pt idx="65">
                  <c:v>57</c:v>
                </c:pt>
                <c:pt idx="66">
                  <c:v>58</c:v>
                </c:pt>
                <c:pt idx="67">
                  <c:v>59</c:v>
                </c:pt>
                <c:pt idx="68">
                  <c:v>60</c:v>
                </c:pt>
                <c:pt idx="69">
                  <c:v>61</c:v>
                </c:pt>
                <c:pt idx="70">
                  <c:v>62</c:v>
                </c:pt>
                <c:pt idx="71">
                  <c:v>63</c:v>
                </c:pt>
                <c:pt idx="72">
                  <c:v>64</c:v>
                </c:pt>
                <c:pt idx="73">
                  <c:v>65</c:v>
                </c:pt>
                <c:pt idx="74">
                  <c:v>66</c:v>
                </c:pt>
                <c:pt idx="75">
                  <c:v>67</c:v>
                </c:pt>
                <c:pt idx="76">
                  <c:v>68</c:v>
                </c:pt>
                <c:pt idx="77">
                  <c:v>69</c:v>
                </c:pt>
                <c:pt idx="78">
                  <c:v>70</c:v>
                </c:pt>
                <c:pt idx="79">
                  <c:v>71</c:v>
                </c:pt>
                <c:pt idx="80">
                  <c:v>72</c:v>
                </c:pt>
                <c:pt idx="81">
                  <c:v>73</c:v>
                </c:pt>
                <c:pt idx="82">
                  <c:v>74</c:v>
                </c:pt>
                <c:pt idx="83">
                  <c:v>75</c:v>
                </c:pt>
                <c:pt idx="84">
                  <c:v>76</c:v>
                </c:pt>
                <c:pt idx="85">
                  <c:v>77</c:v>
                </c:pt>
                <c:pt idx="86">
                  <c:v>78</c:v>
                </c:pt>
                <c:pt idx="87">
                  <c:v>79</c:v>
                </c:pt>
                <c:pt idx="88">
                  <c:v>80</c:v>
                </c:pt>
                <c:pt idx="89">
                  <c:v>81</c:v>
                </c:pt>
                <c:pt idx="90">
                  <c:v>82</c:v>
                </c:pt>
                <c:pt idx="91">
                  <c:v>83</c:v>
                </c:pt>
                <c:pt idx="92">
                  <c:v>84</c:v>
                </c:pt>
                <c:pt idx="93">
                  <c:v>85</c:v>
                </c:pt>
                <c:pt idx="94">
                  <c:v>86</c:v>
                </c:pt>
                <c:pt idx="95">
                  <c:v>87</c:v>
                </c:pt>
                <c:pt idx="96">
                  <c:v>88</c:v>
                </c:pt>
                <c:pt idx="97">
                  <c:v>89</c:v>
                </c:pt>
                <c:pt idx="98">
                  <c:v>90</c:v>
                </c:pt>
                <c:pt idx="99">
                  <c:v>91</c:v>
                </c:pt>
                <c:pt idx="100">
                  <c:v>92</c:v>
                </c:pt>
                <c:pt idx="101">
                  <c:v>93</c:v>
                </c:pt>
                <c:pt idx="102">
                  <c:v>94</c:v>
                </c:pt>
                <c:pt idx="103">
                  <c:v>95</c:v>
                </c:pt>
                <c:pt idx="104">
                  <c:v>96</c:v>
                </c:pt>
                <c:pt idx="105">
                  <c:v>97</c:v>
                </c:pt>
                <c:pt idx="106">
                  <c:v>98</c:v>
                </c:pt>
                <c:pt idx="107">
                  <c:v>99</c:v>
                </c:pt>
                <c:pt idx="108">
                  <c:v>100</c:v>
                </c:pt>
              </c:numCache>
            </c:numRef>
          </c:xVal>
          <c:yVal>
            <c:numRef>
              <c:f>'Cross-Over L Calcs'!$D$24:$D$132</c:f>
              <c:numCache>
                <c:formatCode>0.00%</c:formatCode>
                <c:ptCount val="109"/>
                <c:pt idx="0">
                  <c:v>2.8000000000000014E-2</c:v>
                </c:pt>
                <c:pt idx="1">
                  <c:v>2.8000000000000014E-2</c:v>
                </c:pt>
                <c:pt idx="2">
                  <c:v>2.8000000000000014E-2</c:v>
                </c:pt>
                <c:pt idx="3">
                  <c:v>2.8000000000000014E-2</c:v>
                </c:pt>
                <c:pt idx="4">
                  <c:v>2.8000000000000014E-2</c:v>
                </c:pt>
                <c:pt idx="5">
                  <c:v>2.8000000000000014E-2</c:v>
                </c:pt>
                <c:pt idx="6">
                  <c:v>2.8000000000000014E-2</c:v>
                </c:pt>
                <c:pt idx="7">
                  <c:v>2.8000000000000014E-2</c:v>
                </c:pt>
                <c:pt idx="8">
                  <c:v>2.8000000000000014E-2</c:v>
                </c:pt>
                <c:pt idx="9">
                  <c:v>2.8000000000000014E-2</c:v>
                </c:pt>
                <c:pt idx="10">
                  <c:v>2.8000000000000014E-2</c:v>
                </c:pt>
                <c:pt idx="11">
                  <c:v>2.8000000000000014E-2</c:v>
                </c:pt>
                <c:pt idx="12">
                  <c:v>2.8000000000000014E-2</c:v>
                </c:pt>
                <c:pt idx="13">
                  <c:v>2.8000000000000014E-2</c:v>
                </c:pt>
                <c:pt idx="14">
                  <c:v>2.8000000000000014E-2</c:v>
                </c:pt>
                <c:pt idx="15">
                  <c:v>2.8000000000000014E-2</c:v>
                </c:pt>
                <c:pt idx="16">
                  <c:v>2.8000000000000014E-2</c:v>
                </c:pt>
                <c:pt idx="17">
                  <c:v>2.8000000000000014E-2</c:v>
                </c:pt>
                <c:pt idx="18">
                  <c:v>2.8000000000000014E-2</c:v>
                </c:pt>
                <c:pt idx="19">
                  <c:v>2.8000000000000014E-2</c:v>
                </c:pt>
                <c:pt idx="20">
                  <c:v>2.8000000000000014E-2</c:v>
                </c:pt>
                <c:pt idx="21">
                  <c:v>2.8000000000000014E-2</c:v>
                </c:pt>
                <c:pt idx="22">
                  <c:v>2.8000000000000014E-2</c:v>
                </c:pt>
                <c:pt idx="23">
                  <c:v>2.8000000000000014E-2</c:v>
                </c:pt>
                <c:pt idx="24">
                  <c:v>2.8000000000000014E-2</c:v>
                </c:pt>
                <c:pt idx="25">
                  <c:v>2.8000000000000014E-2</c:v>
                </c:pt>
                <c:pt idx="26">
                  <c:v>2.8000000000000014E-2</c:v>
                </c:pt>
                <c:pt idx="27">
                  <c:v>2.8000000000000014E-2</c:v>
                </c:pt>
                <c:pt idx="28">
                  <c:v>2.8000000000000014E-2</c:v>
                </c:pt>
                <c:pt idx="29">
                  <c:v>2.8000000000000014E-2</c:v>
                </c:pt>
                <c:pt idx="30">
                  <c:v>2.8000000000000014E-2</c:v>
                </c:pt>
                <c:pt idx="31">
                  <c:v>2.8000000000000014E-2</c:v>
                </c:pt>
                <c:pt idx="32">
                  <c:v>2.8000000000000014E-2</c:v>
                </c:pt>
                <c:pt idx="33">
                  <c:v>2.8000000000000014E-2</c:v>
                </c:pt>
                <c:pt idx="34">
                  <c:v>2.8000000000000014E-2</c:v>
                </c:pt>
                <c:pt idx="35">
                  <c:v>2.8000000000000014E-2</c:v>
                </c:pt>
                <c:pt idx="36">
                  <c:v>2.8000000000000014E-2</c:v>
                </c:pt>
                <c:pt idx="37">
                  <c:v>2.8000000000000014E-2</c:v>
                </c:pt>
                <c:pt idx="38">
                  <c:v>2.8000000000000014E-2</c:v>
                </c:pt>
                <c:pt idx="39">
                  <c:v>2.8000000000000014E-2</c:v>
                </c:pt>
                <c:pt idx="40">
                  <c:v>2.8000000000000014E-2</c:v>
                </c:pt>
                <c:pt idx="41">
                  <c:v>2.8000000000000014E-2</c:v>
                </c:pt>
                <c:pt idx="42">
                  <c:v>2.8000000000000014E-2</c:v>
                </c:pt>
                <c:pt idx="43">
                  <c:v>2.8000000000000014E-2</c:v>
                </c:pt>
                <c:pt idx="44">
                  <c:v>2.8000000000000014E-2</c:v>
                </c:pt>
                <c:pt idx="45">
                  <c:v>2.8000000000000014E-2</c:v>
                </c:pt>
                <c:pt idx="46">
                  <c:v>2.8000000000000014E-2</c:v>
                </c:pt>
                <c:pt idx="47">
                  <c:v>2.8000000000000014E-2</c:v>
                </c:pt>
                <c:pt idx="48">
                  <c:v>2.8000000000000014E-2</c:v>
                </c:pt>
                <c:pt idx="49">
                  <c:v>2.8000000000000014E-2</c:v>
                </c:pt>
                <c:pt idx="50">
                  <c:v>2.8000000000000014E-2</c:v>
                </c:pt>
                <c:pt idx="51">
                  <c:v>2.8000000000000014E-2</c:v>
                </c:pt>
                <c:pt idx="52">
                  <c:v>2.8000000000000014E-2</c:v>
                </c:pt>
                <c:pt idx="53">
                  <c:v>2.8000000000000014E-2</c:v>
                </c:pt>
                <c:pt idx="54">
                  <c:v>2.8000000000000014E-2</c:v>
                </c:pt>
                <c:pt idx="55">
                  <c:v>2.8000000000000014E-2</c:v>
                </c:pt>
                <c:pt idx="56">
                  <c:v>2.8000000000000014E-2</c:v>
                </c:pt>
                <c:pt idx="57">
                  <c:v>2.8000000000000014E-2</c:v>
                </c:pt>
                <c:pt idx="58">
                  <c:v>2.8000000000000014E-2</c:v>
                </c:pt>
                <c:pt idx="59">
                  <c:v>2.8000000000000014E-2</c:v>
                </c:pt>
                <c:pt idx="60">
                  <c:v>2.8000000000000014E-2</c:v>
                </c:pt>
                <c:pt idx="61">
                  <c:v>2.8000000000000014E-2</c:v>
                </c:pt>
                <c:pt idx="62">
                  <c:v>2.8000000000000014E-2</c:v>
                </c:pt>
                <c:pt idx="63">
                  <c:v>2.8000000000000014E-2</c:v>
                </c:pt>
                <c:pt idx="64">
                  <c:v>2.8000000000000014E-2</c:v>
                </c:pt>
                <c:pt idx="65">
                  <c:v>2.8000000000000014E-2</c:v>
                </c:pt>
                <c:pt idx="66">
                  <c:v>2.8000000000000014E-2</c:v>
                </c:pt>
                <c:pt idx="67">
                  <c:v>2.8000000000000014E-2</c:v>
                </c:pt>
                <c:pt idx="68">
                  <c:v>2.8000000000000014E-2</c:v>
                </c:pt>
                <c:pt idx="69">
                  <c:v>2.8000000000000014E-2</c:v>
                </c:pt>
                <c:pt idx="70">
                  <c:v>2.8000000000000014E-2</c:v>
                </c:pt>
                <c:pt idx="71">
                  <c:v>2.8000000000000014E-2</c:v>
                </c:pt>
                <c:pt idx="72">
                  <c:v>2.8000000000000014E-2</c:v>
                </c:pt>
                <c:pt idx="73">
                  <c:v>2.8000000000000014E-2</c:v>
                </c:pt>
                <c:pt idx="74">
                  <c:v>2.8000000000000014E-2</c:v>
                </c:pt>
                <c:pt idx="75">
                  <c:v>2.8000000000000014E-2</c:v>
                </c:pt>
                <c:pt idx="76">
                  <c:v>2.8000000000000014E-2</c:v>
                </c:pt>
                <c:pt idx="77">
                  <c:v>2.8000000000000014E-2</c:v>
                </c:pt>
                <c:pt idx="78">
                  <c:v>2.8000000000000014E-2</c:v>
                </c:pt>
                <c:pt idx="79">
                  <c:v>2.8000000000000014E-2</c:v>
                </c:pt>
                <c:pt idx="80">
                  <c:v>2.8000000000000014E-2</c:v>
                </c:pt>
                <c:pt idx="81">
                  <c:v>2.8000000000000014E-2</c:v>
                </c:pt>
                <c:pt idx="82">
                  <c:v>2.8000000000000014E-2</c:v>
                </c:pt>
                <c:pt idx="83">
                  <c:v>2.8000000000000014E-2</c:v>
                </c:pt>
                <c:pt idx="84">
                  <c:v>2.8000000000000014E-2</c:v>
                </c:pt>
                <c:pt idx="85">
                  <c:v>2.8000000000000014E-2</c:v>
                </c:pt>
                <c:pt idx="86">
                  <c:v>2.8000000000000014E-2</c:v>
                </c:pt>
                <c:pt idx="87">
                  <c:v>2.8000000000000014E-2</c:v>
                </c:pt>
                <c:pt idx="88">
                  <c:v>2.8000000000000014E-2</c:v>
                </c:pt>
                <c:pt idx="89">
                  <c:v>2.8000000000000014E-2</c:v>
                </c:pt>
                <c:pt idx="90">
                  <c:v>2.8000000000000014E-2</c:v>
                </c:pt>
                <c:pt idx="91">
                  <c:v>2.8000000000000014E-2</c:v>
                </c:pt>
                <c:pt idx="92">
                  <c:v>2.8000000000000014E-2</c:v>
                </c:pt>
                <c:pt idx="93">
                  <c:v>2.8000000000000014E-2</c:v>
                </c:pt>
                <c:pt idx="94">
                  <c:v>2.8000000000000014E-2</c:v>
                </c:pt>
                <c:pt idx="95">
                  <c:v>2.8000000000000014E-2</c:v>
                </c:pt>
                <c:pt idx="96">
                  <c:v>2.8000000000000014E-2</c:v>
                </c:pt>
                <c:pt idx="97">
                  <c:v>2.8000000000000014E-2</c:v>
                </c:pt>
                <c:pt idx="98">
                  <c:v>2.8000000000000014E-2</c:v>
                </c:pt>
                <c:pt idx="99">
                  <c:v>2.8000000000000014E-2</c:v>
                </c:pt>
                <c:pt idx="100">
                  <c:v>2.8000000000000014E-2</c:v>
                </c:pt>
                <c:pt idx="101">
                  <c:v>2.8000000000000014E-2</c:v>
                </c:pt>
                <c:pt idx="102">
                  <c:v>2.8000000000000014E-2</c:v>
                </c:pt>
                <c:pt idx="103">
                  <c:v>2.8000000000000014E-2</c:v>
                </c:pt>
                <c:pt idx="104">
                  <c:v>2.8000000000000014E-2</c:v>
                </c:pt>
                <c:pt idx="105">
                  <c:v>2.8000000000000014E-2</c:v>
                </c:pt>
                <c:pt idx="106">
                  <c:v>2.8000000000000014E-2</c:v>
                </c:pt>
                <c:pt idx="107">
                  <c:v>2.8000000000000014E-2</c:v>
                </c:pt>
                <c:pt idx="108">
                  <c:v>2.8000000000000014E-2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892-4A2A-9C7E-919DB090D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493632"/>
        <c:axId val="173499904"/>
      </c:scatterChart>
      <c:valAx>
        <c:axId val="173493632"/>
        <c:scaling>
          <c:orientation val="minMax"/>
          <c:max val="1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3499904"/>
        <c:crosses val="autoZero"/>
        <c:crossBetween val="midCat"/>
        <c:majorUnit val="20"/>
        <c:minorUnit val="2"/>
      </c:valAx>
      <c:valAx>
        <c:axId val="173499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Natural Gas Leak Rate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17349363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>
    <tabColor rgb="FFFFC000"/>
  </sheetPr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85725</xdr:rowOff>
    </xdr:from>
    <xdr:to>
      <xdr:col>3</xdr:col>
      <xdr:colOff>571499</xdr:colOff>
      <xdr:row>6</xdr:row>
      <xdr:rowOff>57150</xdr:rowOff>
    </xdr:to>
    <xdr:pic>
      <xdr:nvPicPr>
        <xdr:cNvPr id="14337" name="Picture 1" descr="EDF_sm_CMY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" y="247650"/>
          <a:ext cx="1333499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8666655" y="124811"/>
    <xdr:ext cx="5942724" cy="39851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190501</xdr:colOff>
      <xdr:row>1</xdr:row>
      <xdr:rowOff>28573</xdr:rowOff>
    </xdr:from>
    <xdr:to>
      <xdr:col>18</xdr:col>
      <xdr:colOff>57151</xdr:colOff>
      <xdr:row>39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10</xdr:row>
          <xdr:rowOff>114300</xdr:rowOff>
        </xdr:from>
        <xdr:to>
          <xdr:col>14</xdr:col>
          <xdr:colOff>533400</xdr:colOff>
          <xdr:row>15</xdr:row>
          <xdr:rowOff>106680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160020</xdr:colOff>
          <xdr:row>10</xdr:row>
          <xdr:rowOff>99060</xdr:rowOff>
        </xdr:from>
        <xdr:to>
          <xdr:col>33</xdr:col>
          <xdr:colOff>472440</xdr:colOff>
          <xdr:row>16</xdr:row>
          <xdr:rowOff>45720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160020</xdr:colOff>
          <xdr:row>9</xdr:row>
          <xdr:rowOff>99060</xdr:rowOff>
        </xdr:from>
        <xdr:to>
          <xdr:col>48</xdr:col>
          <xdr:colOff>335280</xdr:colOff>
          <xdr:row>15</xdr:row>
          <xdr:rowOff>45720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35</xdr:row>
          <xdr:rowOff>22860</xdr:rowOff>
        </xdr:from>
        <xdr:to>
          <xdr:col>7</xdr:col>
          <xdr:colOff>518160</xdr:colOff>
          <xdr:row>35</xdr:row>
          <xdr:rowOff>167640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34</xdr:row>
          <xdr:rowOff>30480</xdr:rowOff>
        </xdr:from>
        <xdr:to>
          <xdr:col>7</xdr:col>
          <xdr:colOff>518160</xdr:colOff>
          <xdr:row>34</xdr:row>
          <xdr:rowOff>175260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129540</xdr:colOff>
          <xdr:row>37</xdr:row>
          <xdr:rowOff>22860</xdr:rowOff>
        </xdr:from>
        <xdr:to>
          <xdr:col>7</xdr:col>
          <xdr:colOff>510540</xdr:colOff>
          <xdr:row>37</xdr:row>
          <xdr:rowOff>167640</xdr:rowOff>
        </xdr:to>
        <xdr:sp macro="" textlink="">
          <xdr:nvSpPr>
            <xdr:cNvPr id="12292" name="Object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36</xdr:row>
          <xdr:rowOff>22860</xdr:rowOff>
        </xdr:from>
        <xdr:to>
          <xdr:col>7</xdr:col>
          <xdr:colOff>510540</xdr:colOff>
          <xdr:row>36</xdr:row>
          <xdr:rowOff>167640</xdr:rowOff>
        </xdr:to>
        <xdr:sp macro="" textlink="">
          <xdr:nvSpPr>
            <xdr:cNvPr id="12293" name="Object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34</xdr:row>
          <xdr:rowOff>30480</xdr:rowOff>
        </xdr:from>
        <xdr:to>
          <xdr:col>8</xdr:col>
          <xdr:colOff>571500</xdr:colOff>
          <xdr:row>34</xdr:row>
          <xdr:rowOff>175260</xdr:rowOff>
        </xdr:to>
        <xdr:sp macro="" textlink="">
          <xdr:nvSpPr>
            <xdr:cNvPr id="12294" name="Object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129540</xdr:colOff>
          <xdr:row>35</xdr:row>
          <xdr:rowOff>22860</xdr:rowOff>
        </xdr:from>
        <xdr:to>
          <xdr:col>8</xdr:col>
          <xdr:colOff>579120</xdr:colOff>
          <xdr:row>35</xdr:row>
          <xdr:rowOff>167640</xdr:rowOff>
        </xdr:to>
        <xdr:sp macro="" textlink="">
          <xdr:nvSpPr>
            <xdr:cNvPr id="12295" name="Object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36</xdr:row>
          <xdr:rowOff>30480</xdr:rowOff>
        </xdr:from>
        <xdr:to>
          <xdr:col>8</xdr:col>
          <xdr:colOff>571500</xdr:colOff>
          <xdr:row>36</xdr:row>
          <xdr:rowOff>175260</xdr:rowOff>
        </xdr:to>
        <xdr:sp macro="" textlink="">
          <xdr:nvSpPr>
            <xdr:cNvPr id="12296" name="Object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137160</xdr:colOff>
          <xdr:row>37</xdr:row>
          <xdr:rowOff>22860</xdr:rowOff>
        </xdr:from>
        <xdr:to>
          <xdr:col>8</xdr:col>
          <xdr:colOff>579120</xdr:colOff>
          <xdr:row>37</xdr:row>
          <xdr:rowOff>167640</xdr:rowOff>
        </xdr:to>
        <xdr:sp macro="" textlink="">
          <xdr:nvSpPr>
            <xdr:cNvPr id="12297" name="Object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123825</xdr:rowOff>
    </xdr:from>
    <xdr:to>
      <xdr:col>5</xdr:col>
      <xdr:colOff>734260</xdr:colOff>
      <xdr:row>44</xdr:row>
      <xdr:rowOff>10560</xdr:rowOff>
    </xdr:to>
    <xdr:pic>
      <xdr:nvPicPr>
        <xdr:cNvPr id="3" name="Picture 2" descr="Formula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23825"/>
          <a:ext cx="5982535" cy="7411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df.org/leakagemode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6" Type="http://schemas.openxmlformats.org/officeDocument/2006/relationships/image" Target="../media/image3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oleObject" Target="../embeddings/oleObject9.bin"/><Relationship Id="rId18" Type="http://schemas.openxmlformats.org/officeDocument/2006/relationships/image" Target="../media/image12.emf"/><Relationship Id="rId3" Type="http://schemas.openxmlformats.org/officeDocument/2006/relationships/oleObject" Target="../embeddings/oleObject4.bin"/><Relationship Id="rId7" Type="http://schemas.openxmlformats.org/officeDocument/2006/relationships/oleObject" Target="../embeddings/oleObject6.bin"/><Relationship Id="rId12" Type="http://schemas.openxmlformats.org/officeDocument/2006/relationships/image" Target="../media/image9.emf"/><Relationship Id="rId17" Type="http://schemas.openxmlformats.org/officeDocument/2006/relationships/oleObject" Target="../embeddings/oleObject11.bin"/><Relationship Id="rId2" Type="http://schemas.openxmlformats.org/officeDocument/2006/relationships/vmlDrawing" Target="../drawings/vmlDrawing3.vml"/><Relationship Id="rId16" Type="http://schemas.openxmlformats.org/officeDocument/2006/relationships/image" Target="../media/image11.emf"/><Relationship Id="rId1" Type="http://schemas.openxmlformats.org/officeDocument/2006/relationships/drawing" Target="../drawings/drawing6.xml"/><Relationship Id="rId6" Type="http://schemas.openxmlformats.org/officeDocument/2006/relationships/image" Target="../media/image6.emf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5.bin"/><Relationship Id="rId15" Type="http://schemas.openxmlformats.org/officeDocument/2006/relationships/oleObject" Target="../embeddings/oleObject10.bin"/><Relationship Id="rId10" Type="http://schemas.openxmlformats.org/officeDocument/2006/relationships/image" Target="../media/image8.emf"/><Relationship Id="rId19" Type="http://schemas.openxmlformats.org/officeDocument/2006/relationships/comments" Target="../comments2.xml"/><Relationship Id="rId4" Type="http://schemas.openxmlformats.org/officeDocument/2006/relationships/image" Target="../media/image5.emf"/><Relationship Id="rId9" Type="http://schemas.openxmlformats.org/officeDocument/2006/relationships/oleObject" Target="../embeddings/oleObject7.bin"/><Relationship Id="rId14" Type="http://schemas.openxmlformats.org/officeDocument/2006/relationships/image" Target="../media/image10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/>
  </sheetPr>
  <dimension ref="B2:L24"/>
  <sheetViews>
    <sheetView tabSelected="1" workbookViewId="0"/>
  </sheetViews>
  <sheetFormatPr defaultColWidth="9" defaultRowHeight="12.6" x14ac:dyDescent="0.2"/>
  <cols>
    <col min="1" max="1" width="3.7265625" style="574" customWidth="1"/>
    <col min="2" max="2" width="2.90625" style="574" customWidth="1"/>
    <col min="3" max="11" width="9" style="574"/>
    <col min="12" max="12" width="2.90625" style="574" customWidth="1"/>
    <col min="13" max="16384" width="9" style="574"/>
  </cols>
  <sheetData>
    <row r="2" spans="2:12" x14ac:dyDescent="0.2">
      <c r="B2" s="575"/>
      <c r="C2" s="575"/>
      <c r="D2" s="575"/>
    </row>
    <row r="3" spans="2:12" x14ac:dyDescent="0.2">
      <c r="B3" s="575"/>
      <c r="C3" s="575"/>
      <c r="D3" s="575"/>
    </row>
    <row r="4" spans="2:12" x14ac:dyDescent="0.2">
      <c r="B4" s="575"/>
      <c r="C4" s="575"/>
      <c r="D4" s="575"/>
    </row>
    <row r="5" spans="2:12" x14ac:dyDescent="0.2">
      <c r="B5" s="575"/>
      <c r="C5" s="575"/>
      <c r="D5" s="575"/>
    </row>
    <row r="6" spans="2:12" x14ac:dyDescent="0.2">
      <c r="B6" s="575"/>
      <c r="C6" s="575"/>
      <c r="D6" s="575"/>
    </row>
    <row r="7" spans="2:12" x14ac:dyDescent="0.2">
      <c r="B7" s="575"/>
      <c r="C7" s="575"/>
      <c r="D7" s="575"/>
    </row>
    <row r="10" spans="2:12" ht="13.2" thickBot="1" x14ac:dyDescent="0.25"/>
    <row r="11" spans="2:12" ht="17.25" customHeight="1" x14ac:dyDescent="0.3">
      <c r="B11" s="74"/>
      <c r="C11" s="577"/>
      <c r="D11" s="577"/>
      <c r="E11" s="577"/>
      <c r="F11" s="577"/>
      <c r="G11" s="577"/>
      <c r="H11" s="577"/>
      <c r="I11" s="577"/>
      <c r="J11" s="577"/>
      <c r="K11" s="577"/>
      <c r="L11" s="55"/>
    </row>
    <row r="12" spans="2:12" ht="46.5" customHeight="1" x14ac:dyDescent="0.3">
      <c r="B12" s="576"/>
      <c r="C12" s="579" t="s">
        <v>130</v>
      </c>
      <c r="D12" s="579"/>
      <c r="E12" s="579"/>
      <c r="F12" s="579"/>
      <c r="G12" s="579"/>
      <c r="H12" s="579"/>
      <c r="I12" s="579"/>
      <c r="J12" s="579"/>
      <c r="K12" s="579"/>
      <c r="L12" s="57"/>
    </row>
    <row r="13" spans="2:12" ht="30" customHeight="1" x14ac:dyDescent="0.3">
      <c r="B13" s="56"/>
      <c r="C13" s="583" t="s">
        <v>406</v>
      </c>
      <c r="D13" s="583"/>
      <c r="E13" s="583"/>
      <c r="F13" s="583"/>
      <c r="G13" s="583"/>
      <c r="H13" s="583"/>
      <c r="I13" s="583"/>
      <c r="J13" s="583"/>
      <c r="K13" s="583"/>
      <c r="L13" s="57"/>
    </row>
    <row r="14" spans="2:12" ht="15.75" customHeight="1" x14ac:dyDescent="0.3">
      <c r="B14" s="56"/>
      <c r="C14" s="578"/>
      <c r="D14" s="578"/>
      <c r="E14" s="578"/>
      <c r="F14" s="584" t="s">
        <v>405</v>
      </c>
      <c r="G14" s="584"/>
      <c r="H14" s="584"/>
      <c r="I14" s="578"/>
      <c r="J14" s="578"/>
      <c r="K14" s="578"/>
      <c r="L14" s="57"/>
    </row>
    <row r="15" spans="2:12" ht="5.25" customHeight="1" x14ac:dyDescent="0.3">
      <c r="B15" s="56"/>
      <c r="C15" s="582" t="s">
        <v>115</v>
      </c>
      <c r="D15" s="582"/>
      <c r="E15" s="582"/>
      <c r="F15" s="582"/>
      <c r="G15" s="582"/>
      <c r="H15" s="582"/>
      <c r="I15" s="582"/>
      <c r="J15" s="582"/>
      <c r="K15" s="582"/>
      <c r="L15" s="57"/>
    </row>
    <row r="16" spans="2:12" ht="30.75" customHeight="1" x14ac:dyDescent="0.3">
      <c r="B16" s="56"/>
      <c r="C16" s="582"/>
      <c r="D16" s="582"/>
      <c r="E16" s="582"/>
      <c r="F16" s="582"/>
      <c r="G16" s="582"/>
      <c r="H16" s="582"/>
      <c r="I16" s="582"/>
      <c r="J16" s="582"/>
      <c r="K16" s="582"/>
      <c r="L16" s="57"/>
    </row>
    <row r="17" spans="2:12" ht="30.75" customHeight="1" x14ac:dyDescent="0.3">
      <c r="B17" s="56"/>
      <c r="C17" s="582"/>
      <c r="D17" s="582"/>
      <c r="E17" s="582"/>
      <c r="F17" s="582"/>
      <c r="G17" s="582"/>
      <c r="H17" s="582"/>
      <c r="I17" s="582"/>
      <c r="J17" s="582"/>
      <c r="K17" s="582"/>
      <c r="L17" s="57"/>
    </row>
    <row r="18" spans="2:12" ht="23.25" customHeight="1" x14ac:dyDescent="0.3">
      <c r="B18" s="56"/>
      <c r="C18" s="580" t="s">
        <v>404</v>
      </c>
      <c r="D18" s="580"/>
      <c r="E18" s="580"/>
      <c r="F18" s="580"/>
      <c r="G18" s="580"/>
      <c r="H18" s="580"/>
      <c r="I18" s="580"/>
      <c r="J18" s="580"/>
      <c r="K18" s="580"/>
      <c r="L18" s="57"/>
    </row>
    <row r="19" spans="2:12" ht="30.75" customHeight="1" x14ac:dyDescent="0.3">
      <c r="B19" s="56"/>
      <c r="C19" s="580"/>
      <c r="D19" s="580"/>
      <c r="E19" s="580"/>
      <c r="F19" s="580"/>
      <c r="G19" s="580"/>
      <c r="H19" s="580"/>
      <c r="I19" s="580"/>
      <c r="J19" s="580"/>
      <c r="K19" s="580"/>
      <c r="L19" s="57"/>
    </row>
    <row r="20" spans="2:12" ht="30.75" customHeight="1" x14ac:dyDescent="0.3">
      <c r="B20" s="56"/>
      <c r="C20" s="580"/>
      <c r="D20" s="580"/>
      <c r="E20" s="580"/>
      <c r="F20" s="580"/>
      <c r="G20" s="580"/>
      <c r="H20" s="580"/>
      <c r="I20" s="580"/>
      <c r="J20" s="580"/>
      <c r="K20" s="580"/>
      <c r="L20" s="57"/>
    </row>
    <row r="21" spans="2:12" ht="30.75" customHeight="1" x14ac:dyDescent="0.3">
      <c r="B21" s="56"/>
      <c r="C21" s="580"/>
      <c r="D21" s="580"/>
      <c r="E21" s="580"/>
      <c r="F21" s="580"/>
      <c r="G21" s="580"/>
      <c r="H21" s="580"/>
      <c r="I21" s="580"/>
      <c r="J21" s="580"/>
      <c r="K21" s="580"/>
      <c r="L21" s="57"/>
    </row>
    <row r="22" spans="2:12" ht="30.75" customHeight="1" x14ac:dyDescent="0.3">
      <c r="B22" s="56"/>
      <c r="C22" s="580"/>
      <c r="D22" s="580"/>
      <c r="E22" s="580"/>
      <c r="F22" s="580"/>
      <c r="G22" s="580"/>
      <c r="H22" s="580"/>
      <c r="I22" s="580"/>
      <c r="J22" s="580"/>
      <c r="K22" s="580"/>
      <c r="L22" s="57"/>
    </row>
    <row r="23" spans="2:12" ht="30.75" customHeight="1" x14ac:dyDescent="0.3">
      <c r="B23" s="56"/>
      <c r="C23" s="580"/>
      <c r="D23" s="580"/>
      <c r="E23" s="580"/>
      <c r="F23" s="580"/>
      <c r="G23" s="580"/>
      <c r="H23" s="580"/>
      <c r="I23" s="580"/>
      <c r="J23" s="580"/>
      <c r="K23" s="580"/>
      <c r="L23" s="57"/>
    </row>
    <row r="24" spans="2:12" ht="34.5" customHeight="1" thickBot="1" x14ac:dyDescent="0.35">
      <c r="B24" s="58"/>
      <c r="C24" s="581"/>
      <c r="D24" s="581"/>
      <c r="E24" s="581"/>
      <c r="F24" s="581"/>
      <c r="G24" s="581"/>
      <c r="H24" s="581"/>
      <c r="I24" s="581"/>
      <c r="J24" s="581"/>
      <c r="K24" s="581"/>
      <c r="L24" s="59"/>
    </row>
  </sheetData>
  <sheetProtection password="B467" sheet="1" objects="1" scenarios="1"/>
  <mergeCells count="5">
    <mergeCell ref="C12:K12"/>
    <mergeCell ref="C18:K24"/>
    <mergeCell ref="C15:K17"/>
    <mergeCell ref="C13:K13"/>
    <mergeCell ref="F14:H14"/>
  </mergeCells>
  <hyperlinks>
    <hyperlink ref="F14:H14" r:id="rId1" display="www.edf.org/leakagemodel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P313"/>
  <sheetViews>
    <sheetView zoomScaleNormal="100" workbookViewId="0"/>
  </sheetViews>
  <sheetFormatPr defaultColWidth="11" defaultRowHeight="13.8" x14ac:dyDescent="0.3"/>
  <cols>
    <col min="1" max="1" width="11" style="82"/>
    <col min="2" max="2" width="15" style="82" customWidth="1"/>
    <col min="3" max="3" width="11.7265625" style="82" customWidth="1"/>
    <col min="4" max="4" width="12.7265625" style="82" customWidth="1"/>
    <col min="5" max="5" width="13.7265625" style="82" customWidth="1"/>
    <col min="6" max="6" width="12.36328125" style="82" customWidth="1"/>
    <col min="7" max="7" width="12.26953125" style="82" customWidth="1"/>
    <col min="8" max="16384" width="11" style="82"/>
  </cols>
  <sheetData>
    <row r="1" spans="1:16" ht="58.5" customHeight="1" x14ac:dyDescent="0.3">
      <c r="A1" s="279" t="s">
        <v>0</v>
      </c>
      <c r="B1" s="280" t="s">
        <v>38</v>
      </c>
      <c r="C1" s="690" t="s">
        <v>39</v>
      </c>
      <c r="D1" s="691"/>
      <c r="E1" s="691"/>
      <c r="F1" s="692"/>
      <c r="G1" s="280" t="s">
        <v>2</v>
      </c>
      <c r="H1" s="690" t="s">
        <v>12</v>
      </c>
      <c r="I1" s="691"/>
      <c r="J1" s="691"/>
      <c r="K1" s="692"/>
      <c r="L1" s="280" t="s">
        <v>13</v>
      </c>
      <c r="M1" s="690" t="s">
        <v>15</v>
      </c>
      <c r="N1" s="691"/>
      <c r="O1" s="691"/>
      <c r="P1" s="692"/>
    </row>
    <row r="2" spans="1:16" ht="41.4" x14ac:dyDescent="0.3">
      <c r="A2" s="276"/>
      <c r="B2" s="281" t="s">
        <v>3</v>
      </c>
      <c r="C2" s="282" t="s">
        <v>1</v>
      </c>
      <c r="D2" s="283" t="s">
        <v>4</v>
      </c>
      <c r="E2" s="283" t="s">
        <v>5</v>
      </c>
      <c r="F2" s="284" t="s">
        <v>6</v>
      </c>
      <c r="G2" s="281" t="s">
        <v>7</v>
      </c>
      <c r="H2" s="282" t="s">
        <v>8</v>
      </c>
      <c r="I2" s="283" t="s">
        <v>9</v>
      </c>
      <c r="J2" s="283" t="s">
        <v>10</v>
      </c>
      <c r="K2" s="284" t="s">
        <v>11</v>
      </c>
      <c r="L2" s="281" t="s">
        <v>14</v>
      </c>
      <c r="M2" s="282" t="s">
        <v>14</v>
      </c>
      <c r="N2" s="283" t="s">
        <v>14</v>
      </c>
      <c r="O2" s="283" t="s">
        <v>14</v>
      </c>
      <c r="P2" s="284" t="s">
        <v>14</v>
      </c>
    </row>
    <row r="3" spans="1:16" x14ac:dyDescent="0.3">
      <c r="A3" s="276">
        <v>0.1</v>
      </c>
      <c r="B3" s="285">
        <f>12*A3-12*12*(1-EXP(-A3/12))</f>
        <v>4.9861399981390164E-3</v>
      </c>
      <c r="C3" s="286">
        <f>0.217*A3*A3/2</f>
        <v>1.085E-3</v>
      </c>
      <c r="D3" s="287">
        <f>0.259*(172.9*A3-172.9*172.9*(1-EXP(-A3/172.9)))</f>
        <v>1.2947503737372693E-3</v>
      </c>
      <c r="E3" s="287">
        <f>0.338*(18.51*A3-18.51*18.51*(1-EXP(-A3/18.51)))</f>
        <v>1.686960706078077E-3</v>
      </c>
      <c r="F3" s="288">
        <f>0.186*(1.186*A3-1.186*1.186*(1-EXP(-A3/1.186)))</f>
        <v>9.0440353330268751E-4</v>
      </c>
      <c r="G3" s="285">
        <f>12*(1-EXP(-A3/12))</f>
        <v>9.958448833348843E-2</v>
      </c>
      <c r="H3" s="286">
        <f>0.217*A3</f>
        <v>2.1700000000000001E-2</v>
      </c>
      <c r="I3" s="287">
        <f>0.259*172.9*(1-EXP(-A3/172.9))</f>
        <v>2.589251156521841E-2</v>
      </c>
      <c r="J3" s="287">
        <f>0.338*18.51*(1-EXP(-A3/18.51))</f>
        <v>3.370886219848309E-2</v>
      </c>
      <c r="K3" s="288">
        <f>0.186*1.186*(1-EXP(-A3/1.186))</f>
        <v>1.783743378305001E-2</v>
      </c>
      <c r="L3" s="285">
        <f>12*A3-12*12*(1-EXP(-A3/12))</f>
        <v>4.9861399981390164E-3</v>
      </c>
      <c r="M3" s="286">
        <f>0.217*A3*A3/2</f>
        <v>1.085E-3</v>
      </c>
      <c r="N3" s="287">
        <f>0.259*(172.9*A3-172.9*172.9*(1-EXP(-A3/172.9)))</f>
        <v>1.2947503737372693E-3</v>
      </c>
      <c r="O3" s="287">
        <f>0.338*(18.51*A3-18.51*18.51*(1-EXP(-A3/18.51)))</f>
        <v>1.686960706078077E-3</v>
      </c>
      <c r="P3" s="288">
        <f>0.186*(1.186*A3-1.186*1.186*(1-EXP(-A3/1.186)))</f>
        <v>9.0440353330268751E-4</v>
      </c>
    </row>
    <row r="4" spans="1:16" x14ac:dyDescent="0.3">
      <c r="A4" s="276">
        <f>0.1+A3</f>
        <v>0.2</v>
      </c>
      <c r="B4" s="285">
        <f t="shared" ref="B4:B67" si="0">12*A4-12*12*(1-EXP(-A4/12))</f>
        <v>1.9889350312919163E-2</v>
      </c>
      <c r="C4" s="286">
        <f>0.217*A4*A4/2</f>
        <v>4.3400000000000001E-3</v>
      </c>
      <c r="D4" s="287">
        <f t="shared" ref="D4:D54" si="1">0.259*(172.9*A4-172.9*172.9*(1-EXP(-A4/172.9)))</f>
        <v>5.1780032765654412E-3</v>
      </c>
      <c r="E4" s="287">
        <f t="shared" ref="E4:E54" si="2">0.338*(18.51*A4-18.51*18.51*(1-EXP(-A4/18.51)))</f>
        <v>6.7357184261090256E-3</v>
      </c>
      <c r="F4" s="288">
        <f t="shared" ref="F4:F54" si="3">0.186*(1.186*A4-1.186*1.186*(1-EXP(-A4/1.186)))</f>
        <v>3.5194202062005112E-3</v>
      </c>
      <c r="G4" s="285">
        <f t="shared" ref="G4:G67" si="4">12*(1-EXP(-A4/12))</f>
        <v>0.1983425541405901</v>
      </c>
      <c r="H4" s="286">
        <f t="shared" ref="H4:H67" si="5">0.217*A4</f>
        <v>4.3400000000000001E-2</v>
      </c>
      <c r="I4" s="287">
        <f t="shared" ref="I4:I67" si="6">0.259*172.9*(1-EXP(-A4/172.9))</f>
        <v>5.1770052034259315E-2</v>
      </c>
      <c r="J4" s="287">
        <f t="shared" ref="J4:J67" si="7">0.338*18.51*(1-EXP(-A4/18.51))</f>
        <v>6.7236103812743975E-2</v>
      </c>
      <c r="K4" s="288">
        <f t="shared" ref="K4:K67" si="8">0.186*1.186*(1-EXP(-A4/1.186))</f>
        <v>3.4232529337099062E-2</v>
      </c>
      <c r="L4" s="285">
        <f t="shared" ref="L4:L24" si="9">12*A4-12*12*(1-EXP(-A4/12))</f>
        <v>1.9889350312919163E-2</v>
      </c>
      <c r="M4" s="286">
        <f t="shared" ref="M4:M25" si="10">0.217*A4*A4/2</f>
        <v>4.3400000000000001E-3</v>
      </c>
      <c r="N4" s="287">
        <f t="shared" ref="N4:N25" si="11">0.259*(172.9*A4-172.9*172.9*(1-EXP(-A4/172.9)))</f>
        <v>5.1780032765654412E-3</v>
      </c>
      <c r="O4" s="287">
        <f t="shared" ref="O4:O25" si="12">0.338*(18.51*A4-18.51*18.51*(1-EXP(-A4/18.51)))</f>
        <v>6.7357184261090256E-3</v>
      </c>
      <c r="P4" s="288">
        <f t="shared" ref="P4:P25" si="13">0.186*(1.186*A4-1.186*1.186*(1-EXP(-A4/1.186)))</f>
        <v>3.5194202062005112E-3</v>
      </c>
    </row>
    <row r="5" spans="1:16" x14ac:dyDescent="0.3">
      <c r="A5" s="276">
        <f t="shared" ref="A5:A12" si="14">0.1+A4</f>
        <v>0.30000000000000004</v>
      </c>
      <c r="B5" s="285">
        <f t="shared" si="0"/>
        <v>4.4627332079897108E-2</v>
      </c>
      <c r="C5" s="286">
        <f>0.217*A5*A5/2</f>
        <v>9.7650000000000028E-3</v>
      </c>
      <c r="D5" s="287">
        <f t="shared" si="1"/>
        <v>1.1648262031996332E-2</v>
      </c>
      <c r="E5" s="287">
        <f t="shared" si="2"/>
        <v>1.5128160073579059E-2</v>
      </c>
      <c r="F5" s="288">
        <f t="shared" si="3"/>
        <v>7.7067295205613794E-3</v>
      </c>
      <c r="G5" s="285">
        <f t="shared" si="4"/>
        <v>0.29628105566000862</v>
      </c>
      <c r="H5" s="286">
        <f t="shared" si="5"/>
        <v>6.5100000000000005E-2</v>
      </c>
      <c r="I5" s="287">
        <f t="shared" si="6"/>
        <v>7.7632630063435543E-2</v>
      </c>
      <c r="J5" s="287">
        <f t="shared" si="7"/>
        <v>0.10058270339959058</v>
      </c>
      <c r="K5" s="288">
        <f t="shared" si="8"/>
        <v>4.9301914400875745E-2</v>
      </c>
      <c r="L5" s="285">
        <f t="shared" si="9"/>
        <v>4.4627332079897108E-2</v>
      </c>
      <c r="M5" s="286">
        <f t="shared" si="10"/>
        <v>9.7650000000000028E-3</v>
      </c>
      <c r="N5" s="287">
        <f t="shared" si="11"/>
        <v>1.1648262031996332E-2</v>
      </c>
      <c r="O5" s="287">
        <f t="shared" si="12"/>
        <v>1.5128160073579059E-2</v>
      </c>
      <c r="P5" s="288">
        <f t="shared" si="13"/>
        <v>7.7067295205613794E-3</v>
      </c>
    </row>
    <row r="6" spans="1:16" x14ac:dyDescent="0.3">
      <c r="A6" s="276">
        <f t="shared" si="14"/>
        <v>0.4</v>
      </c>
      <c r="B6" s="285">
        <f t="shared" si="0"/>
        <v>7.91184694088507E-2</v>
      </c>
      <c r="C6" s="286">
        <f t="shared" ref="C6:C54" si="15">0.217*A6*A6/2</f>
        <v>1.736E-2</v>
      </c>
      <c r="D6" s="287">
        <f t="shared" si="1"/>
        <v>2.0704030829166341E-2</v>
      </c>
      <c r="E6" s="287">
        <f t="shared" si="2"/>
        <v>2.6846270153753373E-2</v>
      </c>
      <c r="F6" s="288">
        <f t="shared" si="3"/>
        <v>1.3339195599580288E-2</v>
      </c>
      <c r="G6" s="285">
        <f t="shared" si="4"/>
        <v>0.39340679421592917</v>
      </c>
      <c r="H6" s="286">
        <f t="shared" si="5"/>
        <v>8.6800000000000002E-2</v>
      </c>
      <c r="I6" s="287">
        <f t="shared" si="6"/>
        <v>0.10348025430405343</v>
      </c>
      <c r="J6" s="287">
        <f t="shared" si="7"/>
        <v>0.13374963424344932</v>
      </c>
      <c r="K6" s="288">
        <f t="shared" si="8"/>
        <v>6.3152786172360628E-2</v>
      </c>
      <c r="L6" s="285">
        <f t="shared" si="9"/>
        <v>7.91184694088507E-2</v>
      </c>
      <c r="M6" s="286">
        <f t="shared" si="10"/>
        <v>1.736E-2</v>
      </c>
      <c r="N6" s="287">
        <f t="shared" si="11"/>
        <v>2.0704030829166341E-2</v>
      </c>
      <c r="O6" s="287">
        <f t="shared" si="12"/>
        <v>2.6846270153753373E-2</v>
      </c>
      <c r="P6" s="288">
        <f t="shared" si="13"/>
        <v>1.3339195599580288E-2</v>
      </c>
    </row>
    <row r="7" spans="1:16" x14ac:dyDescent="0.3">
      <c r="A7" s="276">
        <f t="shared" si="14"/>
        <v>0.5</v>
      </c>
      <c r="B7" s="285">
        <f t="shared" si="0"/>
        <v>0.12328182371589591</v>
      </c>
      <c r="C7" s="286">
        <f t="shared" si="15"/>
        <v>2.7125E-2</v>
      </c>
      <c r="D7" s="287">
        <f t="shared" si="1"/>
        <v>3.2343814721968754E-2</v>
      </c>
      <c r="E7" s="287">
        <f t="shared" si="2"/>
        <v>4.1872130237969755E-2</v>
      </c>
      <c r="F7" s="288">
        <f t="shared" si="3"/>
        <v>2.029996279720879E-2</v>
      </c>
      <c r="G7" s="285">
        <f t="shared" si="4"/>
        <v>0.48972651469034201</v>
      </c>
      <c r="H7" s="286">
        <f t="shared" si="5"/>
        <v>0.1085</v>
      </c>
      <c r="I7" s="287">
        <f t="shared" si="6"/>
        <v>0.12931293340241776</v>
      </c>
      <c r="J7" s="287">
        <f t="shared" si="7"/>
        <v>0.16673786438476665</v>
      </c>
      <c r="K7" s="288">
        <f t="shared" si="8"/>
        <v>7.588367386407352E-2</v>
      </c>
      <c r="L7" s="285">
        <f t="shared" si="9"/>
        <v>0.12328182371589591</v>
      </c>
      <c r="M7" s="286">
        <f t="shared" si="10"/>
        <v>2.7125E-2</v>
      </c>
      <c r="N7" s="287">
        <f t="shared" si="11"/>
        <v>3.2343814721968754E-2</v>
      </c>
      <c r="O7" s="287">
        <f t="shared" si="12"/>
        <v>4.1872130237969755E-2</v>
      </c>
      <c r="P7" s="288">
        <f t="shared" si="13"/>
        <v>2.029996279720879E-2</v>
      </c>
    </row>
    <row r="8" spans="1:16" x14ac:dyDescent="0.3">
      <c r="A8" s="276">
        <f t="shared" si="14"/>
        <v>0.6</v>
      </c>
      <c r="B8" s="285">
        <f t="shared" si="0"/>
        <v>0.17703712810281758</v>
      </c>
      <c r="C8" s="286">
        <f t="shared" si="15"/>
        <v>3.9059999999999991E-2</v>
      </c>
      <c r="D8" s="287">
        <f t="shared" si="1"/>
        <v>4.6566119626496628E-2</v>
      </c>
      <c r="E8" s="287">
        <f t="shared" si="2"/>
        <v>6.0187918440547467E-2</v>
      </c>
      <c r="F8" s="288">
        <f t="shared" si="3"/>
        <v>2.8481624436774759E-2</v>
      </c>
      <c r="G8" s="285">
        <f t="shared" si="4"/>
        <v>0.58524690599143181</v>
      </c>
      <c r="H8" s="286">
        <f t="shared" si="5"/>
        <v>0.13019999999999998</v>
      </c>
      <c r="I8" s="287">
        <f t="shared" si="6"/>
        <v>0.15513067599984673</v>
      </c>
      <c r="J8" s="287">
        <f t="shared" si="7"/>
        <v>0.19954835664826864</v>
      </c>
      <c r="K8" s="288">
        <f t="shared" si="8"/>
        <v>8.7585139597997658E-2</v>
      </c>
      <c r="L8" s="285">
        <f t="shared" si="9"/>
        <v>0.17703712810281758</v>
      </c>
      <c r="M8" s="286">
        <f t="shared" si="10"/>
        <v>3.9059999999999991E-2</v>
      </c>
      <c r="N8" s="287">
        <f t="shared" si="11"/>
        <v>4.6566119626496628E-2</v>
      </c>
      <c r="O8" s="287">
        <f t="shared" si="12"/>
        <v>6.0187918440547467E-2</v>
      </c>
      <c r="P8" s="288">
        <f t="shared" si="13"/>
        <v>2.8481624436774759E-2</v>
      </c>
    </row>
    <row r="9" spans="1:16" x14ac:dyDescent="0.3">
      <c r="A9" s="276">
        <f t="shared" si="14"/>
        <v>0.7</v>
      </c>
      <c r="B9" s="285">
        <f t="shared" si="0"/>
        <v>0.24030478178286963</v>
      </c>
      <c r="C9" s="286">
        <f t="shared" si="15"/>
        <v>5.316499999999999E-2</v>
      </c>
      <c r="D9" s="287">
        <f t="shared" si="1"/>
        <v>6.3369452326184614E-2</v>
      </c>
      <c r="E9" s="287">
        <f t="shared" si="2"/>
        <v>8.1775908898674407E-2</v>
      </c>
      <c r="F9" s="288">
        <f t="shared" si="3"/>
        <v>3.7785458765553157E-2</v>
      </c>
      <c r="G9" s="285">
        <f t="shared" si="4"/>
        <v>0.67997460151809408</v>
      </c>
      <c r="H9" s="286">
        <f t="shared" si="5"/>
        <v>0.15189999999999998</v>
      </c>
      <c r="I9" s="287">
        <f t="shared" si="6"/>
        <v>0.18093349073264209</v>
      </c>
      <c r="J9" s="287">
        <f t="shared" si="7"/>
        <v>0.23218206867106028</v>
      </c>
      <c r="K9" s="288">
        <f t="shared" si="8"/>
        <v>9.834042262600913E-2</v>
      </c>
      <c r="L9" s="285">
        <f t="shared" si="9"/>
        <v>0.24030478178286963</v>
      </c>
      <c r="M9" s="286">
        <f t="shared" si="10"/>
        <v>5.316499999999999E-2</v>
      </c>
      <c r="N9" s="287">
        <f t="shared" si="11"/>
        <v>6.3369452326184614E-2</v>
      </c>
      <c r="O9" s="287">
        <f t="shared" si="12"/>
        <v>8.1775908898674407E-2</v>
      </c>
      <c r="P9" s="288">
        <f t="shared" si="13"/>
        <v>3.7785458765553157E-2</v>
      </c>
    </row>
    <row r="10" spans="1:16" x14ac:dyDescent="0.3">
      <c r="A10" s="276">
        <f t="shared" si="14"/>
        <v>0.79999999999999993</v>
      </c>
      <c r="B10" s="285">
        <f t="shared" si="0"/>
        <v>0.31300584455295954</v>
      </c>
      <c r="C10" s="286">
        <f t="shared" si="15"/>
        <v>6.9439999999999988E-2</v>
      </c>
      <c r="D10" s="287">
        <f t="shared" si="1"/>
        <v>8.2752320465778267E-2</v>
      </c>
      <c r="E10" s="287">
        <f t="shared" si="2"/>
        <v>0.10661847125502331</v>
      </c>
      <c r="F10" s="288">
        <f t="shared" si="3"/>
        <v>4.8120726690192336E-2</v>
      </c>
      <c r="G10" s="285">
        <f t="shared" si="4"/>
        <v>0.77391617962058668</v>
      </c>
      <c r="H10" s="286">
        <f t="shared" si="5"/>
        <v>0.17359999999999998</v>
      </c>
      <c r="I10" s="287">
        <f t="shared" si="6"/>
        <v>0.20672138623212388</v>
      </c>
      <c r="J10" s="287">
        <f t="shared" si="7"/>
        <v>0.26463995293057679</v>
      </c>
      <c r="K10" s="288">
        <f t="shared" si="8"/>
        <v>0.10822603145852246</v>
      </c>
      <c r="L10" s="285">
        <f t="shared" si="9"/>
        <v>0.31300584455295954</v>
      </c>
      <c r="M10" s="286">
        <f t="shared" si="10"/>
        <v>6.9439999999999988E-2</v>
      </c>
      <c r="N10" s="287">
        <f t="shared" si="11"/>
        <v>8.2752320465778267E-2</v>
      </c>
      <c r="O10" s="287">
        <f t="shared" si="12"/>
        <v>0.10661847125502331</v>
      </c>
      <c r="P10" s="288">
        <f t="shared" si="13"/>
        <v>4.8120726690192336E-2</v>
      </c>
    </row>
    <row r="11" spans="1:16" x14ac:dyDescent="0.3">
      <c r="A11" s="276">
        <f t="shared" si="14"/>
        <v>0.89999999999999991</v>
      </c>
      <c r="B11" s="285">
        <f t="shared" si="0"/>
        <v>0.39506203131161044</v>
      </c>
      <c r="C11" s="286">
        <f t="shared" si="15"/>
        <v>8.7884999999999977E-2</v>
      </c>
      <c r="D11" s="287">
        <f t="shared" si="1"/>
        <v>0.10471323255222109</v>
      </c>
      <c r="E11" s="287">
        <f t="shared" si="2"/>
        <v>0.13469807014320578</v>
      </c>
      <c r="F11" s="288">
        <f t="shared" si="3"/>
        <v>5.9404026297385795E-2</v>
      </c>
      <c r="G11" s="285">
        <f t="shared" si="4"/>
        <v>0.86707816405736571</v>
      </c>
      <c r="H11" s="286">
        <f t="shared" si="5"/>
        <v>0.19529999999999997</v>
      </c>
      <c r="I11" s="287">
        <f t="shared" si="6"/>
        <v>0.23249437112462562</v>
      </c>
      <c r="J11" s="287">
        <f t="shared" si="7"/>
        <v>0.29692295677238223</v>
      </c>
      <c r="K11" s="288">
        <f t="shared" si="8"/>
        <v>0.11731228811350269</v>
      </c>
      <c r="L11" s="285">
        <f t="shared" si="9"/>
        <v>0.39506203131161044</v>
      </c>
      <c r="M11" s="286">
        <f t="shared" si="10"/>
        <v>8.7884999999999977E-2</v>
      </c>
      <c r="N11" s="287">
        <f t="shared" si="11"/>
        <v>0.10471323255222109</v>
      </c>
      <c r="O11" s="287">
        <f t="shared" si="12"/>
        <v>0.13469807014320578</v>
      </c>
      <c r="P11" s="288">
        <f t="shared" si="13"/>
        <v>5.9404026297385795E-2</v>
      </c>
    </row>
    <row r="12" spans="1:16" x14ac:dyDescent="0.3">
      <c r="A12" s="276">
        <f t="shared" si="14"/>
        <v>0.99999999999999989</v>
      </c>
      <c r="B12" s="285">
        <f t="shared" si="0"/>
        <v>0.48639570662255238</v>
      </c>
      <c r="C12" s="286">
        <f t="shared" si="15"/>
        <v>0.10849999999999997</v>
      </c>
      <c r="D12" s="287">
        <f t="shared" si="1"/>
        <v>0.12925069795723093</v>
      </c>
      <c r="E12" s="287">
        <f t="shared" si="2"/>
        <v>0.16599726467591852</v>
      </c>
      <c r="F12" s="288">
        <f t="shared" si="3"/>
        <v>7.1558699568122233E-2</v>
      </c>
      <c r="G12" s="285">
        <f t="shared" si="4"/>
        <v>0.95946702444812049</v>
      </c>
      <c r="H12" s="286">
        <f t="shared" si="5"/>
        <v>0.21699999999999997</v>
      </c>
      <c r="I12" s="287">
        <f t="shared" si="6"/>
        <v>0.25825245403147928</v>
      </c>
      <c r="J12" s="287">
        <f t="shared" si="7"/>
        <v>0.32903202243782176</v>
      </c>
      <c r="K12" s="288">
        <f t="shared" si="8"/>
        <v>0.12566382835740111</v>
      </c>
      <c r="L12" s="285">
        <f t="shared" si="9"/>
        <v>0.48639570662255238</v>
      </c>
      <c r="M12" s="286">
        <f t="shared" si="10"/>
        <v>0.10849999999999997</v>
      </c>
      <c r="N12" s="287">
        <f t="shared" si="11"/>
        <v>0.12925069795723093</v>
      </c>
      <c r="O12" s="287">
        <f t="shared" si="12"/>
        <v>0.16599726467591852</v>
      </c>
      <c r="P12" s="288">
        <f t="shared" si="13"/>
        <v>7.1558699568122233E-2</v>
      </c>
    </row>
    <row r="13" spans="1:16" x14ac:dyDescent="0.3">
      <c r="A13" s="276">
        <f>A12+1</f>
        <v>2</v>
      </c>
      <c r="B13" s="285">
        <f t="shared" si="0"/>
        <v>1.8933683842484328</v>
      </c>
      <c r="C13" s="286">
        <f t="shared" si="15"/>
        <v>0.434</v>
      </c>
      <c r="D13" s="287">
        <f t="shared" si="1"/>
        <v>0.51600846160340474</v>
      </c>
      <c r="E13" s="287">
        <f t="shared" si="2"/>
        <v>0.65229651689481738</v>
      </c>
      <c r="F13" s="288">
        <f t="shared" si="3"/>
        <v>0.22801738707946156</v>
      </c>
      <c r="G13" s="285">
        <f t="shared" si="4"/>
        <v>1.8422193013126305</v>
      </c>
      <c r="H13" s="286">
        <f t="shared" si="5"/>
        <v>0.434</v>
      </c>
      <c r="I13" s="287">
        <f t="shared" si="6"/>
        <v>0.51501556702369333</v>
      </c>
      <c r="J13" s="287">
        <f t="shared" si="7"/>
        <v>0.64075977758536928</v>
      </c>
      <c r="K13" s="288">
        <f t="shared" si="8"/>
        <v>0.17974250667836289</v>
      </c>
      <c r="L13" s="285">
        <f t="shared" si="9"/>
        <v>1.8933683842484328</v>
      </c>
      <c r="M13" s="286">
        <f t="shared" si="10"/>
        <v>0.434</v>
      </c>
      <c r="N13" s="287">
        <f t="shared" si="11"/>
        <v>0.51600846160340474</v>
      </c>
      <c r="O13" s="287">
        <f t="shared" si="12"/>
        <v>0.65229651689481738</v>
      </c>
      <c r="P13" s="288">
        <f t="shared" si="13"/>
        <v>0.22801738707946156</v>
      </c>
    </row>
    <row r="14" spans="1:16" x14ac:dyDescent="0.3">
      <c r="A14" s="276">
        <f t="shared" ref="A14:A77" si="16">A13+1</f>
        <v>3</v>
      </c>
      <c r="B14" s="285">
        <f t="shared" si="0"/>
        <v>4.1473127622823043</v>
      </c>
      <c r="C14" s="286">
        <f t="shared" si="15"/>
        <v>0.97650000000000003</v>
      </c>
      <c r="D14" s="287">
        <f t="shared" si="1"/>
        <v>1.158788248550825</v>
      </c>
      <c r="E14" s="287">
        <f t="shared" si="2"/>
        <v>1.4420526144574988</v>
      </c>
      <c r="F14" s="288">
        <f t="shared" si="3"/>
        <v>0.42101227754951298</v>
      </c>
      <c r="G14" s="285">
        <f t="shared" si="4"/>
        <v>2.6543906031431415</v>
      </c>
      <c r="H14" s="286">
        <f t="shared" si="5"/>
        <v>0.65100000000000002</v>
      </c>
      <c r="I14" s="287">
        <f t="shared" si="6"/>
        <v>0.77029792800144115</v>
      </c>
      <c r="J14" s="287">
        <f t="shared" si="7"/>
        <v>0.93609332174729898</v>
      </c>
      <c r="K14" s="288">
        <f t="shared" si="8"/>
        <v>0.20301494304425546</v>
      </c>
      <c r="L14" s="285">
        <f t="shared" si="9"/>
        <v>4.1473127622823043</v>
      </c>
      <c r="M14" s="286">
        <f t="shared" si="10"/>
        <v>0.97650000000000003</v>
      </c>
      <c r="N14" s="287">
        <f t="shared" si="11"/>
        <v>1.158788248550825</v>
      </c>
      <c r="O14" s="287">
        <f t="shared" si="12"/>
        <v>1.4420526144574988</v>
      </c>
      <c r="P14" s="288">
        <f t="shared" si="13"/>
        <v>0.42101227754951298</v>
      </c>
    </row>
    <row r="15" spans="1:16" x14ac:dyDescent="0.3">
      <c r="A15" s="276">
        <f t="shared" si="16"/>
        <v>4</v>
      </c>
      <c r="B15" s="285">
        <f t="shared" si="0"/>
        <v>7.1805087226256532</v>
      </c>
      <c r="C15" s="286">
        <f t="shared" si="15"/>
        <v>1.736</v>
      </c>
      <c r="D15" s="287">
        <f t="shared" si="1"/>
        <v>2.0561135806460444</v>
      </c>
      <c r="E15" s="287">
        <f t="shared" si="2"/>
        <v>2.5193063254205574</v>
      </c>
      <c r="F15" s="288">
        <f t="shared" si="3"/>
        <v>0.62973030484183357</v>
      </c>
      <c r="G15" s="285">
        <f t="shared" si="4"/>
        <v>3.4016242731145288</v>
      </c>
      <c r="H15" s="286">
        <f t="shared" si="5"/>
        <v>0.86799999999999999</v>
      </c>
      <c r="I15" s="287">
        <f t="shared" si="6"/>
        <v>1.024108076456645</v>
      </c>
      <c r="J15" s="287">
        <f t="shared" si="7"/>
        <v>1.2158948500583169</v>
      </c>
      <c r="K15" s="288">
        <f t="shared" si="8"/>
        <v>0.21303009709794807</v>
      </c>
      <c r="L15" s="285">
        <f t="shared" si="9"/>
        <v>7.1805087226256532</v>
      </c>
      <c r="M15" s="286">
        <f t="shared" si="10"/>
        <v>1.736</v>
      </c>
      <c r="N15" s="287">
        <f t="shared" si="11"/>
        <v>2.0561135806460444</v>
      </c>
      <c r="O15" s="287">
        <f t="shared" si="12"/>
        <v>2.5193063254205574</v>
      </c>
      <c r="P15" s="288">
        <f t="shared" si="13"/>
        <v>0.62973030484183357</v>
      </c>
    </row>
    <row r="16" spans="1:16" x14ac:dyDescent="0.3">
      <c r="A16" s="276">
        <f t="shared" si="16"/>
        <v>5</v>
      </c>
      <c r="B16" s="285">
        <f t="shared" si="0"/>
        <v>10.930650748863904</v>
      </c>
      <c r="C16" s="286">
        <f t="shared" si="15"/>
        <v>2.7124999999999999</v>
      </c>
      <c r="D16" s="287">
        <f t="shared" si="1"/>
        <v>3.206516494582194</v>
      </c>
      <c r="E16" s="287">
        <f t="shared" si="2"/>
        <v>3.8689377368018638</v>
      </c>
      <c r="F16" s="288">
        <f t="shared" si="3"/>
        <v>0.84521469019854201</v>
      </c>
      <c r="G16" s="285">
        <f t="shared" si="4"/>
        <v>4.0891124375946752</v>
      </c>
      <c r="H16" s="286">
        <f t="shared" si="5"/>
        <v>1.085</v>
      </c>
      <c r="I16" s="287">
        <f t="shared" si="6"/>
        <v>1.2764545026339953</v>
      </c>
      <c r="J16" s="287">
        <f t="shared" si="7"/>
        <v>1.4809812135709424</v>
      </c>
      <c r="K16" s="288">
        <f t="shared" si="8"/>
        <v>0.2173400588545176</v>
      </c>
      <c r="L16" s="285">
        <f t="shared" si="9"/>
        <v>10.930650748863904</v>
      </c>
      <c r="M16" s="286">
        <f t="shared" si="10"/>
        <v>2.7124999999999999</v>
      </c>
      <c r="N16" s="287">
        <f t="shared" si="11"/>
        <v>3.206516494582194</v>
      </c>
      <c r="O16" s="287">
        <f t="shared" si="12"/>
        <v>3.8689377368018638</v>
      </c>
      <c r="P16" s="288">
        <f t="shared" si="13"/>
        <v>0.84521469019854201</v>
      </c>
    </row>
    <row r="17" spans="1:16" x14ac:dyDescent="0.3">
      <c r="A17" s="276">
        <f t="shared" si="16"/>
        <v>6</v>
      </c>
      <c r="B17" s="285">
        <f t="shared" si="0"/>
        <v>15.34041499861921</v>
      </c>
      <c r="C17" s="286">
        <f t="shared" si="15"/>
        <v>3.9060000000000001</v>
      </c>
      <c r="D17" s="287">
        <f t="shared" si="1"/>
        <v>4.6085374927894298</v>
      </c>
      <c r="E17" s="287">
        <f t="shared" si="2"/>
        <v>5.4766221135892286</v>
      </c>
      <c r="F17" s="288">
        <f t="shared" si="3"/>
        <v>1.0636109373531244</v>
      </c>
      <c r="G17" s="285">
        <f t="shared" si="4"/>
        <v>4.7216320834483989</v>
      </c>
      <c r="H17" s="286">
        <f t="shared" si="5"/>
        <v>1.302</v>
      </c>
      <c r="I17" s="287">
        <f t="shared" si="6"/>
        <v>1.5273456478149829</v>
      </c>
      <c r="J17" s="287">
        <f t="shared" si="7"/>
        <v>1.732126303966006</v>
      </c>
      <c r="K17" s="288">
        <f t="shared" si="8"/>
        <v>0.2191948251659997</v>
      </c>
      <c r="L17" s="285">
        <f>12*A17-12*12*(1-EXP(-A17/12))</f>
        <v>15.34041499861921</v>
      </c>
      <c r="M17" s="286">
        <f t="shared" si="10"/>
        <v>3.9060000000000001</v>
      </c>
      <c r="N17" s="287">
        <f t="shared" si="11"/>
        <v>4.6085374927894298</v>
      </c>
      <c r="O17" s="287">
        <f t="shared" si="12"/>
        <v>5.4766221135892286</v>
      </c>
      <c r="P17" s="288">
        <f t="shared" si="13"/>
        <v>1.0636109373531244</v>
      </c>
    </row>
    <row r="18" spans="1:16" x14ac:dyDescent="0.3">
      <c r="A18" s="276">
        <f t="shared" si="16"/>
        <v>7</v>
      </c>
      <c r="B18" s="285">
        <f t="shared" si="0"/>
        <v>20.357060990886779</v>
      </c>
      <c r="C18" s="286">
        <f t="shared" si="15"/>
        <v>5.3164999999999996</v>
      </c>
      <c r="D18" s="287">
        <f t="shared" si="1"/>
        <v>6.260725494617926</v>
      </c>
      <c r="E18" s="287">
        <f t="shared" si="2"/>
        <v>7.328788079187305</v>
      </c>
      <c r="F18" s="288">
        <f t="shared" si="3"/>
        <v>1.283260286848616</v>
      </c>
      <c r="G18" s="285">
        <f t="shared" si="4"/>
        <v>5.3035782507594345</v>
      </c>
      <c r="H18" s="286">
        <f t="shared" si="5"/>
        <v>1.5189999999999999</v>
      </c>
      <c r="I18" s="287">
        <f t="shared" si="6"/>
        <v>1.7767899046002431</v>
      </c>
      <c r="J18" s="287">
        <f t="shared" si="7"/>
        <v>1.970063312847796</v>
      </c>
      <c r="K18" s="288">
        <f t="shared" si="8"/>
        <v>0.21999301277519714</v>
      </c>
      <c r="L18" s="285">
        <f t="shared" si="9"/>
        <v>20.357060990886779</v>
      </c>
      <c r="M18" s="286">
        <f t="shared" si="10"/>
        <v>5.3164999999999996</v>
      </c>
      <c r="N18" s="287">
        <f t="shared" si="11"/>
        <v>6.260725494617926</v>
      </c>
      <c r="O18" s="287">
        <f t="shared" si="12"/>
        <v>7.328788079187305</v>
      </c>
      <c r="P18" s="288">
        <f t="shared" si="13"/>
        <v>1.283260286848616</v>
      </c>
    </row>
    <row r="19" spans="1:16" x14ac:dyDescent="0.3">
      <c r="A19" s="276">
        <f t="shared" si="16"/>
        <v>8</v>
      </c>
      <c r="B19" s="285">
        <f t="shared" si="0"/>
        <v>25.932065140693254</v>
      </c>
      <c r="C19" s="286">
        <f t="shared" si="15"/>
        <v>6.944</v>
      </c>
      <c r="D19" s="287">
        <f t="shared" si="1"/>
        <v>8.1616377877925519</v>
      </c>
      <c r="E19" s="287">
        <f t="shared" si="2"/>
        <v>9.4125779952148871</v>
      </c>
      <c r="F19" s="288">
        <f t="shared" si="3"/>
        <v>1.5034489014555017</v>
      </c>
      <c r="G19" s="285">
        <f t="shared" si="4"/>
        <v>5.8389945716088958</v>
      </c>
      <c r="H19" s="286">
        <f t="shared" si="5"/>
        <v>1.736</v>
      </c>
      <c r="I19" s="287">
        <f t="shared" si="6"/>
        <v>2.0247956171903265</v>
      </c>
      <c r="J19" s="287">
        <f t="shared" si="7"/>
        <v>2.1954868722196177</v>
      </c>
      <c r="K19" s="288">
        <f t="shared" si="8"/>
        <v>0.22033650804763785</v>
      </c>
      <c r="L19" s="285">
        <f t="shared" si="9"/>
        <v>25.932065140693254</v>
      </c>
      <c r="M19" s="286">
        <f t="shared" si="10"/>
        <v>6.944</v>
      </c>
      <c r="N19" s="287">
        <f t="shared" si="11"/>
        <v>8.1616377877925519</v>
      </c>
      <c r="O19" s="287">
        <f t="shared" si="12"/>
        <v>9.4125779952148871</v>
      </c>
      <c r="P19" s="288">
        <f t="shared" si="13"/>
        <v>1.5034489014555017</v>
      </c>
    </row>
    <row r="20" spans="1:16" x14ac:dyDescent="0.3">
      <c r="A20" s="276">
        <f t="shared" si="16"/>
        <v>9</v>
      </c>
      <c r="B20" s="285">
        <f t="shared" si="0"/>
        <v>32.020783594706117</v>
      </c>
      <c r="C20" s="286">
        <f t="shared" si="15"/>
        <v>8.7885000000000009</v>
      </c>
      <c r="D20" s="287">
        <f t="shared" si="1"/>
        <v>10.309839980157676</v>
      </c>
      <c r="E20" s="287">
        <f t="shared" si="2"/>
        <v>11.715810424985808</v>
      </c>
      <c r="F20" s="288">
        <f t="shared" si="3"/>
        <v>1.7238695855836639</v>
      </c>
      <c r="G20" s="285">
        <f t="shared" si="4"/>
        <v>6.3316013671078242</v>
      </c>
      <c r="H20" s="286">
        <f t="shared" si="5"/>
        <v>1.9530000000000001</v>
      </c>
      <c r="I20" s="287">
        <f t="shared" si="6"/>
        <v>2.2713710816647907</v>
      </c>
      <c r="J20" s="287">
        <f t="shared" si="7"/>
        <v>2.4090550823886656</v>
      </c>
      <c r="K20" s="288">
        <f t="shared" si="8"/>
        <v>0.22048432918746705</v>
      </c>
      <c r="L20" s="285">
        <f t="shared" si="9"/>
        <v>32.020783594706117</v>
      </c>
      <c r="M20" s="286">
        <f t="shared" si="10"/>
        <v>8.7885000000000009</v>
      </c>
      <c r="N20" s="287">
        <f t="shared" si="11"/>
        <v>10.309839980157676</v>
      </c>
      <c r="O20" s="287">
        <f t="shared" si="12"/>
        <v>11.715810424985808</v>
      </c>
      <c r="P20" s="288">
        <f t="shared" si="13"/>
        <v>1.7238695855836639</v>
      </c>
    </row>
    <row r="21" spans="1:16" x14ac:dyDescent="0.3">
      <c r="A21" s="276">
        <f t="shared" si="16"/>
        <v>10</v>
      </c>
      <c r="B21" s="285">
        <f t="shared" si="0"/>
        <v>38.582142025019266</v>
      </c>
      <c r="C21" s="286">
        <f t="shared" si="15"/>
        <v>10.85</v>
      </c>
      <c r="D21" s="287">
        <f t="shared" si="1"/>
        <v>12.703905951691501</v>
      </c>
      <c r="E21" s="287">
        <f t="shared" si="2"/>
        <v>14.226944571089112</v>
      </c>
      <c r="F21" s="288">
        <f t="shared" si="3"/>
        <v>1.9443901394448539</v>
      </c>
      <c r="G21" s="285">
        <f t="shared" si="4"/>
        <v>6.7848214979150612</v>
      </c>
      <c r="H21" s="286">
        <f t="shared" si="5"/>
        <v>2.17</v>
      </c>
      <c r="I21" s="287">
        <f t="shared" si="6"/>
        <v>2.5165245462597365</v>
      </c>
      <c r="J21" s="287">
        <f t="shared" si="7"/>
        <v>2.61139143322047</v>
      </c>
      <c r="K21" s="288">
        <f t="shared" si="8"/>
        <v>0.22054794313250081</v>
      </c>
      <c r="L21" s="285">
        <f t="shared" si="9"/>
        <v>38.582142025019266</v>
      </c>
      <c r="M21" s="286">
        <f t="shared" si="10"/>
        <v>10.85</v>
      </c>
      <c r="N21" s="287">
        <f t="shared" si="11"/>
        <v>12.703905951691501</v>
      </c>
      <c r="O21" s="287">
        <f t="shared" si="12"/>
        <v>14.226944571089112</v>
      </c>
      <c r="P21" s="288">
        <f t="shared" si="13"/>
        <v>1.9443901394448539</v>
      </c>
    </row>
    <row r="22" spans="1:16" x14ac:dyDescent="0.3">
      <c r="A22" s="276">
        <f t="shared" si="16"/>
        <v>11</v>
      </c>
      <c r="B22" s="285">
        <f t="shared" si="0"/>
        <v>45.578350225658014</v>
      </c>
      <c r="C22" s="286">
        <f t="shared" si="15"/>
        <v>13.128500000000001</v>
      </c>
      <c r="D22" s="287">
        <f t="shared" si="1"/>
        <v>15.342417806798924</v>
      </c>
      <c r="E22" s="287">
        <f t="shared" si="2"/>
        <v>16.935046583248273</v>
      </c>
      <c r="F22" s="288">
        <f t="shared" si="3"/>
        <v>2.1649536716494304</v>
      </c>
      <c r="G22" s="285">
        <f t="shared" si="4"/>
        <v>7.2018041478618322</v>
      </c>
      <c r="H22" s="286">
        <f t="shared" si="5"/>
        <v>2.387</v>
      </c>
      <c r="I22" s="287">
        <f t="shared" si="6"/>
        <v>2.7602642116437308</v>
      </c>
      <c r="J22" s="287">
        <f t="shared" si="7"/>
        <v>2.8030866243517956</v>
      </c>
      <c r="K22" s="288">
        <f t="shared" si="8"/>
        <v>0.22057531901397107</v>
      </c>
      <c r="L22" s="285">
        <f t="shared" si="9"/>
        <v>45.578350225658014</v>
      </c>
      <c r="M22" s="286">
        <f t="shared" si="10"/>
        <v>13.128500000000001</v>
      </c>
      <c r="N22" s="287">
        <f t="shared" si="11"/>
        <v>15.342417806798924</v>
      </c>
      <c r="O22" s="287">
        <f t="shared" si="12"/>
        <v>16.935046583248273</v>
      </c>
      <c r="P22" s="288">
        <f t="shared" si="13"/>
        <v>2.1649536716494304</v>
      </c>
    </row>
    <row r="23" spans="1:16" x14ac:dyDescent="0.3">
      <c r="A23" s="276">
        <f t="shared" si="16"/>
        <v>12</v>
      </c>
      <c r="B23" s="285">
        <f t="shared" si="0"/>
        <v>52.974639528687703</v>
      </c>
      <c r="C23" s="286">
        <f t="shared" si="15"/>
        <v>15.624000000000001</v>
      </c>
      <c r="D23" s="287">
        <f t="shared" si="1"/>
        <v>18.223965826889234</v>
      </c>
      <c r="E23" s="287">
        <f t="shared" si="2"/>
        <v>19.829757638098389</v>
      </c>
      <c r="F23" s="288">
        <f t="shared" si="3"/>
        <v>2.3855356993275021</v>
      </c>
      <c r="G23" s="285">
        <f t="shared" si="4"/>
        <v>7.585446705942692</v>
      </c>
      <c r="H23" s="286">
        <f t="shared" si="5"/>
        <v>2.6040000000000001</v>
      </c>
      <c r="I23" s="287">
        <f t="shared" si="6"/>
        <v>3.0025982311920809</v>
      </c>
      <c r="J23" s="287">
        <f t="shared" si="7"/>
        <v>2.9847002896759385</v>
      </c>
      <c r="K23" s="288">
        <f t="shared" si="8"/>
        <v>0.22058710006112786</v>
      </c>
      <c r="L23" s="285">
        <f t="shared" si="9"/>
        <v>52.974639528687703</v>
      </c>
      <c r="M23" s="286">
        <f t="shared" si="10"/>
        <v>15.624000000000001</v>
      </c>
      <c r="N23" s="287">
        <f t="shared" si="11"/>
        <v>18.223965826889234</v>
      </c>
      <c r="O23" s="287">
        <f t="shared" si="12"/>
        <v>19.829757638098389</v>
      </c>
      <c r="P23" s="288">
        <f t="shared" si="13"/>
        <v>2.3855356993275021</v>
      </c>
    </row>
    <row r="24" spans="1:16" x14ac:dyDescent="0.3">
      <c r="A24" s="276">
        <f t="shared" si="16"/>
        <v>13</v>
      </c>
      <c r="B24" s="285">
        <f t="shared" si="0"/>
        <v>60.739021215370883</v>
      </c>
      <c r="C24" s="286">
        <f t="shared" si="15"/>
        <v>18.336500000000001</v>
      </c>
      <c r="D24" s="287">
        <f t="shared" si="1"/>
        <v>21.34714842320966</v>
      </c>
      <c r="E24" s="287">
        <f t="shared" si="2"/>
        <v>22.901263697693913</v>
      </c>
      <c r="F24" s="288">
        <f t="shared" si="3"/>
        <v>2.6061256864221751</v>
      </c>
      <c r="G24" s="285">
        <f t="shared" si="4"/>
        <v>7.9384148987190928</v>
      </c>
      <c r="H24" s="286">
        <f t="shared" si="5"/>
        <v>2.8210000000000002</v>
      </c>
      <c r="I24" s="287">
        <f t="shared" si="6"/>
        <v>3.2435347112596324</v>
      </c>
      <c r="J24" s="287">
        <f t="shared" si="7"/>
        <v>3.1567626311348516</v>
      </c>
      <c r="K24" s="288">
        <f t="shared" si="8"/>
        <v>0.22059216996443898</v>
      </c>
      <c r="L24" s="285">
        <f t="shared" si="9"/>
        <v>60.739021215370883</v>
      </c>
      <c r="M24" s="286">
        <f t="shared" si="10"/>
        <v>18.336500000000001</v>
      </c>
      <c r="N24" s="287">
        <f t="shared" si="11"/>
        <v>21.34714842320966</v>
      </c>
      <c r="O24" s="287">
        <f t="shared" si="12"/>
        <v>22.901263697693913</v>
      </c>
      <c r="P24" s="288">
        <f t="shared" si="13"/>
        <v>2.6061256864221751</v>
      </c>
    </row>
    <row r="25" spans="1:16" x14ac:dyDescent="0.3">
      <c r="A25" s="276">
        <f t="shared" si="16"/>
        <v>14</v>
      </c>
      <c r="B25" s="285">
        <f t="shared" si="0"/>
        <v>68.842064243702055</v>
      </c>
      <c r="C25" s="286">
        <f t="shared" si="15"/>
        <v>21.265999999999998</v>
      </c>
      <c r="D25" s="287">
        <f t="shared" si="1"/>
        <v>24.710572089966369</v>
      </c>
      <c r="E25" s="287">
        <f t="shared" si="2"/>
        <v>26.140266858459899</v>
      </c>
      <c r="F25" s="288">
        <f t="shared" si="3"/>
        <v>2.8267190988042645</v>
      </c>
      <c r="G25" s="285">
        <f t="shared" si="4"/>
        <v>8.2631613130248276</v>
      </c>
      <c r="H25" s="286">
        <f t="shared" si="5"/>
        <v>3.0379999999999998</v>
      </c>
      <c r="I25" s="287">
        <f t="shared" si="6"/>
        <v>3.4830817114519004</v>
      </c>
      <c r="J25" s="287">
        <f t="shared" si="7"/>
        <v>3.3197759665877968</v>
      </c>
      <c r="K25" s="288">
        <f t="shared" si="8"/>
        <v>0.2205943517670616</v>
      </c>
      <c r="L25" s="285">
        <f>12*A25-12*12*(1-EXP(-A25/12))</f>
        <v>68.842064243702055</v>
      </c>
      <c r="M25" s="286">
        <f t="shared" si="10"/>
        <v>21.265999999999998</v>
      </c>
      <c r="N25" s="287">
        <f t="shared" si="11"/>
        <v>24.710572089966369</v>
      </c>
      <c r="O25" s="287">
        <f t="shared" si="12"/>
        <v>26.140266858459899</v>
      </c>
      <c r="P25" s="288">
        <f t="shared" si="13"/>
        <v>2.8267190988042645</v>
      </c>
    </row>
    <row r="26" spans="1:16" x14ac:dyDescent="0.3">
      <c r="A26" s="276">
        <f t="shared" si="16"/>
        <v>15</v>
      </c>
      <c r="B26" s="285">
        <f t="shared" si="0"/>
        <v>77.256690747867381</v>
      </c>
      <c r="C26" s="286">
        <f t="shared" si="15"/>
        <v>24.412499999999998</v>
      </c>
      <c r="D26" s="287">
        <f t="shared" si="1"/>
        <v>28.312851357709917</v>
      </c>
      <c r="E26" s="287">
        <f t="shared" si="2"/>
        <v>29.537958206943095</v>
      </c>
      <c r="F26" s="288">
        <f t="shared" si="3"/>
        <v>3.0473139852383451</v>
      </c>
      <c r="G26" s="285">
        <f t="shared" si="4"/>
        <v>8.5619424376777182</v>
      </c>
      <c r="H26" s="286">
        <f t="shared" si="5"/>
        <v>3.2549999999999999</v>
      </c>
      <c r="I26" s="287">
        <f t="shared" si="6"/>
        <v>3.7212472448946796</v>
      </c>
      <c r="J26" s="287">
        <f t="shared" si="7"/>
        <v>3.4742161962753606</v>
      </c>
      <c r="K26" s="288">
        <f t="shared" si="8"/>
        <v>0.2205952906927949</v>
      </c>
      <c r="L26" s="285">
        <f>12*A26-12*12*(1-EXP(-A26/12))</f>
        <v>77.256690747867381</v>
      </c>
      <c r="M26" s="286">
        <f t="shared" ref="M26" si="17">0.217*A26*A26/2</f>
        <v>24.412499999999998</v>
      </c>
      <c r="N26" s="287">
        <f t="shared" ref="N26" si="18">0.259*(172.9*A26-172.9*172.9*(1-EXP(-A26/172.9)))</f>
        <v>28.312851357709917</v>
      </c>
      <c r="O26" s="287">
        <f t="shared" ref="O26" si="19">0.338*(18.51*A26-18.51*18.51*(1-EXP(-A26/18.51)))</f>
        <v>29.537958206943095</v>
      </c>
      <c r="P26" s="288">
        <f t="shared" ref="P26" si="20">0.186*(1.186*A26-1.186*1.186*(1-EXP(-A26/1.186)))</f>
        <v>3.0473139852383451</v>
      </c>
    </row>
    <row r="27" spans="1:16" x14ac:dyDescent="0.3">
      <c r="A27" s="276">
        <f t="shared" si="16"/>
        <v>16</v>
      </c>
      <c r="B27" s="285">
        <f t="shared" si="0"/>
        <v>85.957987888664647</v>
      </c>
      <c r="C27" s="286">
        <f t="shared" si="15"/>
        <v>27.776</v>
      </c>
      <c r="D27" s="287">
        <f t="shared" si="1"/>
        <v>32.152608746987937</v>
      </c>
      <c r="E27" s="287">
        <f t="shared" si="2"/>
        <v>33.08599210311818</v>
      </c>
      <c r="F27" s="288">
        <f t="shared" si="3"/>
        <v>3.2679095060218994</v>
      </c>
      <c r="G27" s="285">
        <f t="shared" si="4"/>
        <v>8.8368343426112794</v>
      </c>
      <c r="H27" s="286">
        <f t="shared" si="5"/>
        <v>3.472</v>
      </c>
      <c r="I27" s="287">
        <f t="shared" si="6"/>
        <v>3.9580392785020941</v>
      </c>
      <c r="J27" s="287">
        <f t="shared" si="7"/>
        <v>3.6205341921600129</v>
      </c>
      <c r="K27" s="288">
        <f t="shared" si="8"/>
        <v>0.22059569475387886</v>
      </c>
      <c r="L27" s="285">
        <f t="shared" ref="L27:L90" si="21">12*15-12*12*EXP(-A27/12)*(EXP(15/12)-1)</f>
        <v>85.471592182042102</v>
      </c>
      <c r="M27" s="286">
        <f t="shared" ref="M27:M90" si="22">0.217*(15*A27-15*15/2)</f>
        <v>27.6675</v>
      </c>
      <c r="N27" s="287">
        <f t="shared" ref="N27:N90" si="23">0.259*(172.9*15-172.9*172.9*EXP(-A27/172.9)*(EXP(15/172.9)-1))</f>
        <v>32.023358049029653</v>
      </c>
      <c r="O27" s="287">
        <f t="shared" ref="O27:O90" si="24">0.338*(18.51*15-18.51*18.51*EXP(-A27/18.51)*(EXP(15/18.51)-1))</f>
        <v>32.91999483844225</v>
      </c>
      <c r="P27" s="288">
        <f t="shared" ref="P27:P90" si="25">0.186*(1.186*15-1.186*1.186*EXP(-A27/1.186)*(EXP(15/1.186)-1))</f>
        <v>3.1963508064537769</v>
      </c>
    </row>
    <row r="28" spans="1:16" x14ac:dyDescent="0.3">
      <c r="A28" s="276">
        <f t="shared" si="16"/>
        <v>17</v>
      </c>
      <c r="B28" s="285">
        <f t="shared" si="0"/>
        <v>94.923034747533407</v>
      </c>
      <c r="C28" s="286">
        <f t="shared" si="15"/>
        <v>31.3565</v>
      </c>
      <c r="D28" s="287">
        <f t="shared" si="1"/>
        <v>36.228474722266235</v>
      </c>
      <c r="E28" s="287">
        <f t="shared" si="2"/>
        <v>36.776461816171881</v>
      </c>
      <c r="F28" s="288">
        <f t="shared" si="3"/>
        <v>3.488505299793963</v>
      </c>
      <c r="G28" s="285">
        <f t="shared" si="4"/>
        <v>9.0897471043722167</v>
      </c>
      <c r="H28" s="286">
        <f t="shared" si="5"/>
        <v>3.6890000000000001</v>
      </c>
      <c r="I28" s="287">
        <f t="shared" si="6"/>
        <v>4.1934657332431104</v>
      </c>
      <c r="J28" s="287">
        <f t="shared" si="7"/>
        <v>3.7591571141992501</v>
      </c>
      <c r="K28" s="288">
        <f t="shared" si="8"/>
        <v>0.22059586863915406</v>
      </c>
      <c r="L28" s="285">
        <f t="shared" si="21"/>
        <v>93.029666363285003</v>
      </c>
      <c r="M28" s="286">
        <f t="shared" si="22"/>
        <v>30.922499999999999</v>
      </c>
      <c r="N28" s="287">
        <f t="shared" si="23"/>
        <v>35.712466260662332</v>
      </c>
      <c r="O28" s="287">
        <f t="shared" si="24"/>
        <v>36.124165299277074</v>
      </c>
      <c r="P28" s="288">
        <f t="shared" si="25"/>
        <v>3.2604879127145017</v>
      </c>
    </row>
    <row r="29" spans="1:16" x14ac:dyDescent="0.3">
      <c r="A29" s="276">
        <f t="shared" si="16"/>
        <v>18</v>
      </c>
      <c r="B29" s="285">
        <f t="shared" si="0"/>
        <v>104.13074306137389</v>
      </c>
      <c r="C29" s="286">
        <f t="shared" si="15"/>
        <v>35.154000000000003</v>
      </c>
      <c r="D29" s="287">
        <f t="shared" si="1"/>
        <v>40.539087646119839</v>
      </c>
      <c r="E29" s="287">
        <f t="shared" si="2"/>
        <v>40.601876441636286</v>
      </c>
      <c r="F29" s="288">
        <f t="shared" si="3"/>
        <v>3.7091012110450019</v>
      </c>
      <c r="G29" s="285">
        <f t="shared" si="4"/>
        <v>9.322438078218843</v>
      </c>
      <c r="H29" s="286">
        <f t="shared" si="5"/>
        <v>3.9060000000000001</v>
      </c>
      <c r="I29" s="287">
        <f t="shared" si="6"/>
        <v>4.427534484406479</v>
      </c>
      <c r="J29" s="287">
        <f t="shared" si="7"/>
        <v>3.8904896573940424</v>
      </c>
      <c r="K29" s="288">
        <f t="shared" si="8"/>
        <v>0.22059594346964417</v>
      </c>
      <c r="L29" s="285">
        <f t="shared" si="21"/>
        <v>99.983430299091609</v>
      </c>
      <c r="M29" s="286">
        <f t="shared" si="22"/>
        <v>34.177500000000002</v>
      </c>
      <c r="N29" s="287">
        <f t="shared" si="23"/>
        <v>39.380299397568308</v>
      </c>
      <c r="O29" s="287">
        <f t="shared" si="24"/>
        <v>39.159823827178784</v>
      </c>
      <c r="P29" s="288">
        <f t="shared" si="25"/>
        <v>3.288088933495489</v>
      </c>
    </row>
    <row r="30" spans="1:16" x14ac:dyDescent="0.3">
      <c r="A30" s="276">
        <f t="shared" si="16"/>
        <v>19</v>
      </c>
      <c r="B30" s="285">
        <f t="shared" si="0"/>
        <v>113.56171069150693</v>
      </c>
      <c r="C30" s="286">
        <f t="shared" si="15"/>
        <v>39.168500000000002</v>
      </c>
      <c r="D30" s="287">
        <f t="shared" si="1"/>
        <v>45.083093733679156</v>
      </c>
      <c r="E30" s="287">
        <f t="shared" si="2"/>
        <v>44.555139032483211</v>
      </c>
      <c r="F30" s="288">
        <f t="shared" si="3"/>
        <v>3.9296971728524159</v>
      </c>
      <c r="G30" s="285">
        <f t="shared" si="4"/>
        <v>9.536524109041089</v>
      </c>
      <c r="H30" s="286">
        <f t="shared" si="5"/>
        <v>4.1230000000000002</v>
      </c>
      <c r="I30" s="287">
        <f t="shared" si="6"/>
        <v>4.6602533618642035</v>
      </c>
      <c r="J30" s="287">
        <f t="shared" si="7"/>
        <v>4.0149152332532045</v>
      </c>
      <c r="K30" s="288">
        <f t="shared" si="8"/>
        <v>0.22059597567249883</v>
      </c>
      <c r="L30" s="285">
        <f t="shared" si="21"/>
        <v>106.38120196888129</v>
      </c>
      <c r="M30" s="286">
        <f t="shared" si="22"/>
        <v>37.432499999999997</v>
      </c>
      <c r="N30" s="287">
        <f t="shared" si="23"/>
        <v>43.026980153032582</v>
      </c>
      <c r="O30" s="287">
        <f t="shared" si="24"/>
        <v>42.035832707062632</v>
      </c>
      <c r="P30" s="288">
        <f t="shared" si="25"/>
        <v>3.2999668680105825</v>
      </c>
    </row>
    <row r="31" spans="1:16" x14ac:dyDescent="0.3">
      <c r="A31" s="276">
        <f t="shared" si="16"/>
        <v>20</v>
      </c>
      <c r="B31" s="285">
        <f t="shared" si="0"/>
        <v>123.19808680860889</v>
      </c>
      <c r="C31" s="286">
        <f t="shared" si="15"/>
        <v>43.4</v>
      </c>
      <c r="D31" s="287">
        <f t="shared" si="1"/>
        <v>49.85914700735011</v>
      </c>
      <c r="E31" s="287">
        <f t="shared" si="2"/>
        <v>48.629525880335798</v>
      </c>
      <c r="F31" s="288">
        <f t="shared" si="3"/>
        <v>4.1502931564164642</v>
      </c>
      <c r="G31" s="285">
        <f t="shared" si="4"/>
        <v>9.7334927659492578</v>
      </c>
      <c r="H31" s="286">
        <f t="shared" si="5"/>
        <v>4.34</v>
      </c>
      <c r="I31" s="287">
        <f t="shared" si="6"/>
        <v>4.8916301503334285</v>
      </c>
      <c r="J31" s="287">
        <f t="shared" si="7"/>
        <v>4.1327970891228647</v>
      </c>
      <c r="K31" s="288">
        <f t="shared" si="8"/>
        <v>0.22059598953080511</v>
      </c>
      <c r="L31" s="285">
        <f t="shared" si="21"/>
        <v>112.26743605974501</v>
      </c>
      <c r="M31" s="286">
        <f t="shared" si="22"/>
        <v>40.6875</v>
      </c>
      <c r="N31" s="287">
        <f t="shared" si="23"/>
        <v>46.65263051276812</v>
      </c>
      <c r="O31" s="287">
        <f t="shared" si="24"/>
        <v>44.760588143533937</v>
      </c>
      <c r="P31" s="288">
        <f t="shared" si="25"/>
        <v>3.3050784662179225</v>
      </c>
    </row>
    <row r="32" spans="1:16" x14ac:dyDescent="0.3">
      <c r="A32" s="276">
        <f t="shared" si="16"/>
        <v>21</v>
      </c>
      <c r="B32" s="285">
        <f t="shared" si="0"/>
        <v>133.0234478568641</v>
      </c>
      <c r="C32" s="286">
        <f t="shared" si="15"/>
        <v>47.848500000000001</v>
      </c>
      <c r="D32" s="287">
        <f t="shared" si="1"/>
        <v>54.865909251786292</v>
      </c>
      <c r="E32" s="287">
        <f t="shared" si="2"/>
        <v>52.818666886311242</v>
      </c>
      <c r="F32" s="288">
        <f t="shared" si="3"/>
        <v>4.370889149343351</v>
      </c>
      <c r="G32" s="285">
        <f t="shared" si="4"/>
        <v>9.9147126785946575</v>
      </c>
      <c r="H32" s="286">
        <f t="shared" si="5"/>
        <v>4.5570000000000004</v>
      </c>
      <c r="I32" s="287">
        <f t="shared" si="6"/>
        <v>5.1216725896368631</v>
      </c>
      <c r="J32" s="287">
        <f t="shared" si="7"/>
        <v>4.2444793686487721</v>
      </c>
      <c r="K32" s="288">
        <f t="shared" si="8"/>
        <v>0.22059599549464448</v>
      </c>
      <c r="L32" s="285">
        <f t="shared" si="21"/>
        <v>117.68303285824489</v>
      </c>
      <c r="M32" s="286">
        <f t="shared" si="22"/>
        <v>43.942500000000003</v>
      </c>
      <c r="N32" s="287">
        <f t="shared" si="23"/>
        <v>50.257371758996683</v>
      </c>
      <c r="O32" s="287">
        <f t="shared" si="24"/>
        <v>47.342044772722012</v>
      </c>
      <c r="P32" s="288">
        <f t="shared" si="25"/>
        <v>3.3072782119902273</v>
      </c>
    </row>
    <row r="33" spans="1:16" x14ac:dyDescent="0.3">
      <c r="A33" s="276">
        <f t="shared" si="16"/>
        <v>22</v>
      </c>
      <c r="B33" s="285">
        <f t="shared" si="0"/>
        <v>143.02268343547593</v>
      </c>
      <c r="C33" s="286">
        <f t="shared" si="15"/>
        <v>52.514000000000003</v>
      </c>
      <c r="D33" s="287">
        <f t="shared" si="1"/>
        <v>60.102049969124593</v>
      </c>
      <c r="E33" s="287">
        <f t="shared" si="2"/>
        <v>57.116526964188687</v>
      </c>
      <c r="F33" s="288">
        <f t="shared" si="3"/>
        <v>4.5914851462994797</v>
      </c>
      <c r="G33" s="285">
        <f t="shared" si="4"/>
        <v>10.081443047043674</v>
      </c>
      <c r="H33" s="286">
        <f t="shared" si="5"/>
        <v>4.774</v>
      </c>
      <c r="I33" s="287">
        <f t="shared" si="6"/>
        <v>5.3503883749616854</v>
      </c>
      <c r="J33" s="287">
        <f t="shared" si="7"/>
        <v>4.3502881164673868</v>
      </c>
      <c r="K33" s="288">
        <f t="shared" si="8"/>
        <v>0.22059599806114713</v>
      </c>
      <c r="L33" s="285">
        <f t="shared" si="21"/>
        <v>122.66562244458913</v>
      </c>
      <c r="M33" s="286">
        <f t="shared" si="22"/>
        <v>47.197499999999998</v>
      </c>
      <c r="N33" s="287">
        <f t="shared" si="23"/>
        <v>53.841324474506195</v>
      </c>
      <c r="O33" s="287">
        <f t="shared" si="24"/>
        <v>49.787738885001389</v>
      </c>
      <c r="P33" s="288">
        <f t="shared" si="25"/>
        <v>3.308224859450863</v>
      </c>
    </row>
    <row r="34" spans="1:16" x14ac:dyDescent="0.3">
      <c r="A34" s="276">
        <f t="shared" si="16"/>
        <v>23</v>
      </c>
      <c r="B34" s="285">
        <f t="shared" si="0"/>
        <v>153.18189130458865</v>
      </c>
      <c r="C34" s="286">
        <f t="shared" si="15"/>
        <v>57.396499999999996</v>
      </c>
      <c r="D34" s="287">
        <f t="shared" si="1"/>
        <v>65.566246334477626</v>
      </c>
      <c r="E34" s="287">
        <f t="shared" si="2"/>
        <v>61.517388421611606</v>
      </c>
      <c r="F34" s="288">
        <f t="shared" si="3"/>
        <v>4.8120811449895671</v>
      </c>
      <c r="G34" s="285">
        <f t="shared" si="4"/>
        <v>10.234842391284278</v>
      </c>
      <c r="H34" s="286">
        <f t="shared" si="5"/>
        <v>4.9909999999999997</v>
      </c>
      <c r="I34" s="287">
        <f t="shared" si="6"/>
        <v>5.5777851571169599</v>
      </c>
      <c r="J34" s="287">
        <f t="shared" si="7"/>
        <v>4.4505322300588013</v>
      </c>
      <c r="K34" s="288">
        <f t="shared" si="8"/>
        <v>0.22059599916562622</v>
      </c>
      <c r="L34" s="285">
        <f t="shared" si="21"/>
        <v>127.24982616389542</v>
      </c>
      <c r="M34" s="286">
        <f t="shared" si="22"/>
        <v>50.452500000000001</v>
      </c>
      <c r="N34" s="287">
        <f t="shared" si="23"/>
        <v>57.404608546683662</v>
      </c>
      <c r="O34" s="287">
        <f t="shared" si="24"/>
        <v>52.10481042639671</v>
      </c>
      <c r="P34" s="288">
        <f t="shared" si="25"/>
        <v>3.3086322435340656</v>
      </c>
    </row>
    <row r="35" spans="1:16" x14ac:dyDescent="0.3">
      <c r="A35" s="276">
        <f t="shared" si="16"/>
        <v>24</v>
      </c>
      <c r="B35" s="285">
        <f t="shared" si="0"/>
        <v>163.48828078607221</v>
      </c>
      <c r="C35" s="286">
        <f t="shared" si="15"/>
        <v>62.496000000000002</v>
      </c>
      <c r="D35" s="287">
        <f t="shared" si="1"/>
        <v>71.257183151685453</v>
      </c>
      <c r="E35" s="287">
        <f t="shared" si="2"/>
        <v>66.015834267887982</v>
      </c>
      <c r="F35" s="288">
        <f t="shared" si="3"/>
        <v>5.032677144425854</v>
      </c>
      <c r="G35" s="285">
        <f t="shared" si="4"/>
        <v>10.375976601160648</v>
      </c>
      <c r="H35" s="286">
        <f t="shared" si="5"/>
        <v>5.2080000000000002</v>
      </c>
      <c r="I35" s="287">
        <f t="shared" si="6"/>
        <v>5.8038705427895581</v>
      </c>
      <c r="J35" s="287">
        <f t="shared" si="7"/>
        <v>4.5455043615403579</v>
      </c>
      <c r="K35" s="288">
        <f t="shared" si="8"/>
        <v>0.22059599964093224</v>
      </c>
      <c r="L35" s="285">
        <f t="shared" si="21"/>
        <v>131.46749719136611</v>
      </c>
      <c r="M35" s="286">
        <f t="shared" si="22"/>
        <v>53.707500000000003</v>
      </c>
      <c r="N35" s="287">
        <f t="shared" si="23"/>
        <v>60.947343171526242</v>
      </c>
      <c r="O35" s="287">
        <f t="shared" si="24"/>
        <v>54.300023842902178</v>
      </c>
      <c r="P35" s="288">
        <f t="shared" si="25"/>
        <v>3.3088075588421901</v>
      </c>
    </row>
    <row r="36" spans="1:16" x14ac:dyDescent="0.3">
      <c r="A36" s="276">
        <f t="shared" si="16"/>
        <v>25</v>
      </c>
      <c r="B36" s="285">
        <f t="shared" si="0"/>
        <v>173.93008388795371</v>
      </c>
      <c r="C36" s="286">
        <f t="shared" si="15"/>
        <v>67.8125</v>
      </c>
      <c r="D36" s="287">
        <f t="shared" si="1"/>
        <v>77.173552809319858</v>
      </c>
      <c r="E36" s="287">
        <f t="shared" si="2"/>
        <v>70.606732399657304</v>
      </c>
      <c r="F36" s="288">
        <f t="shared" si="3"/>
        <v>5.2532731441832636</v>
      </c>
      <c r="G36" s="285">
        <f t="shared" si="4"/>
        <v>10.505826342670524</v>
      </c>
      <c r="H36" s="286">
        <f t="shared" si="5"/>
        <v>5.4249999999999998</v>
      </c>
      <c r="I36" s="287">
        <f t="shared" si="6"/>
        <v>6.0286520947986117</v>
      </c>
      <c r="J36" s="287">
        <f t="shared" si="7"/>
        <v>4.6354817720336419</v>
      </c>
      <c r="K36" s="288">
        <f t="shared" si="8"/>
        <v>0.22059599984547731</v>
      </c>
      <c r="L36" s="285">
        <f t="shared" si="21"/>
        <v>135.34794186293445</v>
      </c>
      <c r="M36" s="286">
        <f t="shared" si="22"/>
        <v>56.962499999999999</v>
      </c>
      <c r="N36" s="287">
        <f t="shared" si="23"/>
        <v>64.469646857628007</v>
      </c>
      <c r="O36" s="287">
        <f t="shared" si="24"/>
        <v>56.37978782856819</v>
      </c>
      <c r="P36" s="288">
        <f t="shared" si="25"/>
        <v>3.3088830047384099</v>
      </c>
    </row>
    <row r="37" spans="1:16" x14ac:dyDescent="0.3">
      <c r="A37" s="276">
        <f t="shared" si="16"/>
        <v>26</v>
      </c>
      <c r="B37" s="285">
        <f t="shared" si="0"/>
        <v>184.49647353494703</v>
      </c>
      <c r="C37" s="286">
        <f t="shared" si="15"/>
        <v>73.346000000000004</v>
      </c>
      <c r="D37" s="287">
        <f t="shared" si="1"/>
        <v>83.314055236943986</v>
      </c>
      <c r="E37" s="287">
        <f t="shared" si="2"/>
        <v>75.285220618255963</v>
      </c>
      <c r="F37" s="288">
        <f t="shared" si="3"/>
        <v>5.4738691440788658</v>
      </c>
      <c r="G37" s="285">
        <f t="shared" si="4"/>
        <v>10.625293872087749</v>
      </c>
      <c r="H37" s="286">
        <f t="shared" si="5"/>
        <v>5.6420000000000003</v>
      </c>
      <c r="I37" s="287">
        <f t="shared" si="6"/>
        <v>6.2521373323485028</v>
      </c>
      <c r="J37" s="287">
        <f t="shared" si="7"/>
        <v>4.7207271410990845</v>
      </c>
      <c r="K37" s="288">
        <f t="shared" si="8"/>
        <v>0.2205959999335021</v>
      </c>
      <c r="L37" s="285">
        <f t="shared" si="21"/>
        <v>138.918123309289</v>
      </c>
      <c r="M37" s="286">
        <f t="shared" si="22"/>
        <v>60.217500000000001</v>
      </c>
      <c r="N37" s="287">
        <f t="shared" si="23"/>
        <v>67.971637430144355</v>
      </c>
      <c r="O37" s="287">
        <f t="shared" si="24"/>
        <v>58.35017403500769</v>
      </c>
      <c r="P37" s="288">
        <f t="shared" si="25"/>
        <v>3.3089154724294363</v>
      </c>
    </row>
    <row r="38" spans="1:16" x14ac:dyDescent="0.3">
      <c r="A38" s="276">
        <f t="shared" si="16"/>
        <v>27</v>
      </c>
      <c r="B38" s="285">
        <f t="shared" si="0"/>
        <v>195.17748833690845</v>
      </c>
      <c r="C38" s="286">
        <f t="shared" si="15"/>
        <v>79.096500000000006</v>
      </c>
      <c r="D38" s="287">
        <f t="shared" si="1"/>
        <v>89.677397861622993</v>
      </c>
      <c r="E38" s="287">
        <f t="shared" si="2"/>
        <v>80.046692435041194</v>
      </c>
      <c r="F38" s="288">
        <f t="shared" si="3"/>
        <v>5.6944651440339396</v>
      </c>
      <c r="G38" s="285">
        <f t="shared" si="4"/>
        <v>10.735209305257628</v>
      </c>
      <c r="H38" s="286">
        <f t="shared" si="5"/>
        <v>5.859</v>
      </c>
      <c r="I38" s="287">
        <f t="shared" si="6"/>
        <v>6.4743337312803764</v>
      </c>
      <c r="J38" s="287">
        <f t="shared" si="7"/>
        <v>4.801489333601233</v>
      </c>
      <c r="K38" s="288">
        <f t="shared" si="8"/>
        <v>0.22059599997138299</v>
      </c>
      <c r="L38" s="285">
        <f t="shared" si="21"/>
        <v>142.20284880822078</v>
      </c>
      <c r="M38" s="286">
        <f t="shared" si="22"/>
        <v>63.472499999999997</v>
      </c>
      <c r="N38" s="287">
        <f t="shared" si="23"/>
        <v>71.453432034733297</v>
      </c>
      <c r="O38" s="287">
        <f t="shared" si="24"/>
        <v>60.216934796942816</v>
      </c>
      <c r="P38" s="288">
        <f t="shared" si="25"/>
        <v>3.3089294447064375</v>
      </c>
    </row>
    <row r="39" spans="1:16" x14ac:dyDescent="0.3">
      <c r="A39" s="276">
        <f t="shared" si="16"/>
        <v>28</v>
      </c>
      <c r="B39" s="285">
        <f t="shared" si="0"/>
        <v>205.96396337247432</v>
      </c>
      <c r="C39" s="286">
        <f t="shared" si="15"/>
        <v>85.063999999999993</v>
      </c>
      <c r="D39" s="287">
        <f t="shared" si="1"/>
        <v>96.262295564684578</v>
      </c>
      <c r="E39" s="287">
        <f t="shared" si="2"/>
        <v>84.886783623233242</v>
      </c>
      <c r="F39" s="288">
        <f t="shared" si="3"/>
        <v>5.9150611440146053</v>
      </c>
      <c r="G39" s="285">
        <f t="shared" si="4"/>
        <v>10.836336385627138</v>
      </c>
      <c r="H39" s="286">
        <f t="shared" si="5"/>
        <v>6.0759999999999996</v>
      </c>
      <c r="I39" s="287">
        <f t="shared" si="6"/>
        <v>6.6952487243222407</v>
      </c>
      <c r="J39" s="287">
        <f t="shared" si="7"/>
        <v>4.8780041262434795</v>
      </c>
      <c r="K39" s="288">
        <f t="shared" si="8"/>
        <v>0.22059599998768484</v>
      </c>
      <c r="L39" s="285">
        <f t="shared" si="21"/>
        <v>145.22494215710344</v>
      </c>
      <c r="M39" s="286">
        <f t="shared" si="22"/>
        <v>66.727500000000006</v>
      </c>
      <c r="N39" s="287">
        <f t="shared" si="23"/>
        <v>74.915147141474691</v>
      </c>
      <c r="O39" s="287">
        <f t="shared" si="24"/>
        <v>61.985519925539307</v>
      </c>
      <c r="P39" s="288">
        <f t="shared" si="25"/>
        <v>3.3089354575924301</v>
      </c>
    </row>
    <row r="40" spans="1:16" x14ac:dyDescent="0.3">
      <c r="A40" s="276">
        <f t="shared" si="16"/>
        <v>29</v>
      </c>
      <c r="B40" s="285">
        <f t="shared" si="0"/>
        <v>216.84746650693347</v>
      </c>
      <c r="C40" s="286">
        <f t="shared" si="15"/>
        <v>91.248500000000007</v>
      </c>
      <c r="D40" s="287">
        <f t="shared" si="1"/>
        <v>103.06747063873226</v>
      </c>
      <c r="E40" s="287">
        <f t="shared" si="2"/>
        <v>89.801359477015453</v>
      </c>
      <c r="F40" s="288">
        <f t="shared" si="3"/>
        <v>6.1356571440062853</v>
      </c>
      <c r="G40" s="285">
        <f t="shared" si="4"/>
        <v>10.929377791088879</v>
      </c>
      <c r="H40" s="286">
        <f t="shared" si="5"/>
        <v>6.2930000000000001</v>
      </c>
      <c r="I40" s="287">
        <f t="shared" si="6"/>
        <v>6.9148897013375814</v>
      </c>
      <c r="J40" s="287">
        <f t="shared" si="7"/>
        <v>4.9504948958932786</v>
      </c>
      <c r="K40" s="288">
        <f t="shared" si="8"/>
        <v>0.22059599999470025</v>
      </c>
      <c r="L40" s="285">
        <f t="shared" si="21"/>
        <v>148.00540226323139</v>
      </c>
      <c r="M40" s="286">
        <f t="shared" si="22"/>
        <v>69.982500000000002</v>
      </c>
      <c r="N40" s="287">
        <f t="shared" si="23"/>
        <v>78.356898548765187</v>
      </c>
      <c r="O40" s="287">
        <f t="shared" si="24"/>
        <v>63.66109261855555</v>
      </c>
      <c r="P40" s="288">
        <f t="shared" si="25"/>
        <v>3.3089380452020203</v>
      </c>
    </row>
    <row r="41" spans="1:16" x14ac:dyDescent="0.3">
      <c r="A41" s="276">
        <f t="shared" si="16"/>
        <v>30</v>
      </c>
      <c r="B41" s="285">
        <f t="shared" si="0"/>
        <v>227.82023980184144</v>
      </c>
      <c r="C41" s="286">
        <f t="shared" si="15"/>
        <v>97.649999999999991</v>
      </c>
      <c r="D41" s="287">
        <f t="shared" si="1"/>
        <v>110.09165274490361</v>
      </c>
      <c r="E41" s="287">
        <f t="shared" si="2"/>
        <v>94.786502740696932</v>
      </c>
      <c r="F41" s="288">
        <f t="shared" si="3"/>
        <v>6.3562531440027046</v>
      </c>
      <c r="G41" s="285">
        <f t="shared" si="4"/>
        <v>11.014980016513213</v>
      </c>
      <c r="H41" s="286">
        <f t="shared" si="5"/>
        <v>6.51</v>
      </c>
      <c r="I41" s="287">
        <f t="shared" si="6"/>
        <v>7.1332640095725637</v>
      </c>
      <c r="J41" s="287">
        <f t="shared" si="7"/>
        <v>5.0191732717073529</v>
      </c>
      <c r="K41" s="288">
        <f t="shared" si="8"/>
        <v>0.22059599999771928</v>
      </c>
      <c r="L41" s="285">
        <f t="shared" si="21"/>
        <v>150.56354905397404</v>
      </c>
      <c r="M41" s="286">
        <f t="shared" si="22"/>
        <v>73.237499999999997</v>
      </c>
      <c r="N41" s="287">
        <f t="shared" si="23"/>
        <v>81.778801387193113</v>
      </c>
      <c r="O41" s="287">
        <f t="shared" si="24"/>
        <v>65.248544533753844</v>
      </c>
      <c r="P41" s="288">
        <f t="shared" si="25"/>
        <v>3.30893915876436</v>
      </c>
    </row>
    <row r="42" spans="1:16" x14ac:dyDescent="0.3">
      <c r="A42" s="276">
        <f t="shared" si="16"/>
        <v>31</v>
      </c>
      <c r="B42" s="285">
        <f t="shared" si="0"/>
        <v>238.87514560926343</v>
      </c>
      <c r="C42" s="286">
        <f t="shared" si="15"/>
        <v>104.2685</v>
      </c>
      <c r="D42" s="287">
        <f t="shared" si="1"/>
        <v>117.33357887037724</v>
      </c>
      <c r="E42" s="287">
        <f t="shared" si="2"/>
        <v>99.838502172697488</v>
      </c>
      <c r="F42" s="288">
        <f t="shared" si="3"/>
        <v>6.576849144001164</v>
      </c>
      <c r="G42" s="285">
        <f t="shared" si="4"/>
        <v>11.093737865894715</v>
      </c>
      <c r="H42" s="286">
        <f t="shared" si="5"/>
        <v>6.7270000000000003</v>
      </c>
      <c r="I42" s="287">
        <f t="shared" si="6"/>
        <v>7.3503789539018092</v>
      </c>
      <c r="J42" s="287">
        <f t="shared" si="7"/>
        <v>5.0842397529606984</v>
      </c>
      <c r="K42" s="288">
        <f t="shared" si="8"/>
        <v>0.22059599999901849</v>
      </c>
      <c r="L42" s="285">
        <f t="shared" si="21"/>
        <v>152.91715772059877</v>
      </c>
      <c r="M42" s="286">
        <f t="shared" si="22"/>
        <v>76.492499999999993</v>
      </c>
      <c r="N42" s="287">
        <f t="shared" si="23"/>
        <v>85.180970123388477</v>
      </c>
      <c r="O42" s="287">
        <f t="shared" si="24"/>
        <v>66.752510069579316</v>
      </c>
      <c r="P42" s="288">
        <f t="shared" si="25"/>
        <v>3.3089396379792637</v>
      </c>
    </row>
    <row r="43" spans="1:16" x14ac:dyDescent="0.3">
      <c r="A43" s="276">
        <f t="shared" si="16"/>
        <v>32</v>
      </c>
      <c r="B43" s="285">
        <f t="shared" si="0"/>
        <v>250.00561697608342</v>
      </c>
      <c r="C43" s="286">
        <f t="shared" si="15"/>
        <v>111.104</v>
      </c>
      <c r="D43" s="287">
        <f t="shared" si="1"/>
        <v>124.79199328611985</v>
      </c>
      <c r="E43" s="287">
        <f t="shared" si="2"/>
        <v>104.95384171096937</v>
      </c>
      <c r="F43" s="288">
        <f t="shared" si="3"/>
        <v>6.7974451440005002</v>
      </c>
      <c r="G43" s="285">
        <f t="shared" si="4"/>
        <v>11.166198585326381</v>
      </c>
      <c r="H43" s="286">
        <f t="shared" si="5"/>
        <v>6.944</v>
      </c>
      <c r="I43" s="287">
        <f t="shared" si="6"/>
        <v>7.5662417970727587</v>
      </c>
      <c r="J43" s="287">
        <f t="shared" si="7"/>
        <v>5.1458842943830723</v>
      </c>
      <c r="K43" s="288">
        <f t="shared" si="8"/>
        <v>0.2205959999995776</v>
      </c>
      <c r="L43" s="285">
        <f t="shared" si="21"/>
        <v>155.08258222855</v>
      </c>
      <c r="M43" s="286">
        <f t="shared" si="22"/>
        <v>79.747500000000002</v>
      </c>
      <c r="N43" s="287">
        <f t="shared" si="23"/>
        <v>88.563518563853023</v>
      </c>
      <c r="O43" s="287">
        <f t="shared" si="24"/>
        <v>68.177379894797468</v>
      </c>
      <c r="P43" s="288">
        <f t="shared" si="25"/>
        <v>3.3089398442065376</v>
      </c>
    </row>
    <row r="44" spans="1:16" x14ac:dyDescent="0.3">
      <c r="A44" s="276">
        <f t="shared" si="16"/>
        <v>33</v>
      </c>
      <c r="B44" s="285">
        <f t="shared" si="0"/>
        <v>261.20561201376586</v>
      </c>
      <c r="C44" s="286">
        <f t="shared" si="15"/>
        <v>118.15649999999999</v>
      </c>
      <c r="D44" s="287">
        <f t="shared" si="1"/>
        <v>132.46564750488676</v>
      </c>
      <c r="E44" s="287">
        <f t="shared" si="2"/>
        <v>110.12919020822481</v>
      </c>
      <c r="F44" s="288">
        <f t="shared" si="3"/>
        <v>7.0180411440002146</v>
      </c>
      <c r="G44" s="285">
        <f t="shared" si="4"/>
        <v>11.232865665519508</v>
      </c>
      <c r="H44" s="286">
        <f t="shared" si="5"/>
        <v>7.1609999999999996</v>
      </c>
      <c r="I44" s="287">
        <f t="shared" si="6"/>
        <v>7.7808597599486014</v>
      </c>
      <c r="J44" s="287">
        <f t="shared" si="7"/>
        <v>5.2042868607117887</v>
      </c>
      <c r="K44" s="288">
        <f t="shared" si="8"/>
        <v>0.22059599999981822</v>
      </c>
      <c r="L44" s="285">
        <f t="shared" si="21"/>
        <v>157.07486895239199</v>
      </c>
      <c r="M44" s="286">
        <f t="shared" si="22"/>
        <v>83.002499999999998</v>
      </c>
      <c r="N44" s="287">
        <f t="shared" si="23"/>
        <v>91.926559858766581</v>
      </c>
      <c r="O44" s="287">
        <f t="shared" si="24"/>
        <v>69.527313766588534</v>
      </c>
      <c r="P44" s="288">
        <f t="shared" si="25"/>
        <v>3.3089399329552136</v>
      </c>
    </row>
    <row r="45" spans="1:16" x14ac:dyDescent="0.3">
      <c r="A45" s="276">
        <f t="shared" si="16"/>
        <v>34</v>
      </c>
      <c r="B45" s="285">
        <f t="shared" si="0"/>
        <v>272.46957191650989</v>
      </c>
      <c r="C45" s="286">
        <f t="shared" si="15"/>
        <v>125.426</v>
      </c>
      <c r="D45" s="287">
        <f t="shared" si="1"/>
        <v>140.35330023945235</v>
      </c>
      <c r="E45" s="287">
        <f t="shared" si="2"/>
        <v>115.36139170700305</v>
      </c>
      <c r="F45" s="288">
        <f t="shared" si="3"/>
        <v>7.2386371440000916</v>
      </c>
      <c r="G45" s="285">
        <f t="shared" si="4"/>
        <v>11.294202340290841</v>
      </c>
      <c r="H45" s="286">
        <f t="shared" si="5"/>
        <v>7.3780000000000001</v>
      </c>
      <c r="I45" s="287">
        <f t="shared" si="6"/>
        <v>7.9942400217498424</v>
      </c>
      <c r="J45" s="287">
        <f t="shared" si="7"/>
        <v>5.2596179520797932</v>
      </c>
      <c r="K45" s="288">
        <f t="shared" si="8"/>
        <v>0.22059599999992177</v>
      </c>
      <c r="L45" s="285">
        <f t="shared" si="21"/>
        <v>158.90786122500296</v>
      </c>
      <c r="M45" s="286">
        <f t="shared" si="22"/>
        <v>86.257499999999993</v>
      </c>
      <c r="N45" s="287">
        <f t="shared" si="23"/>
        <v>95.270206505772592</v>
      </c>
      <c r="O45" s="287">
        <f t="shared" si="24"/>
        <v>70.806252674519868</v>
      </c>
      <c r="P45" s="288">
        <f t="shared" si="25"/>
        <v>3.3089399711476761</v>
      </c>
    </row>
    <row r="46" spans="1:16" x14ac:dyDescent="0.3">
      <c r="A46" s="276">
        <f t="shared" si="16"/>
        <v>35</v>
      </c>
      <c r="B46" s="285">
        <f t="shared" si="0"/>
        <v>283.79238233608635</v>
      </c>
      <c r="C46" s="286">
        <f t="shared" si="15"/>
        <v>132.91249999999999</v>
      </c>
      <c r="D46" s="287">
        <f t="shared" si="1"/>
        <v>148.45371736109172</v>
      </c>
      <c r="E46" s="287">
        <f t="shared" si="2"/>
        <v>120.64745622618514</v>
      </c>
      <c r="F46" s="288">
        <f t="shared" si="3"/>
        <v>7.4592331440000388</v>
      </c>
      <c r="G46" s="285">
        <f t="shared" si="4"/>
        <v>11.350634805326141</v>
      </c>
      <c r="H46" s="286">
        <f t="shared" si="5"/>
        <v>7.5949999999999998</v>
      </c>
      <c r="I46" s="287">
        <f t="shared" si="6"/>
        <v>8.2063897202944371</v>
      </c>
      <c r="J46" s="287">
        <f t="shared" si="7"/>
        <v>5.312039101772819</v>
      </c>
      <c r="K46" s="288">
        <f t="shared" si="8"/>
        <v>0.22059599999996635</v>
      </c>
      <c r="L46" s="285">
        <f t="shared" si="21"/>
        <v>160.59429552747741</v>
      </c>
      <c r="M46" s="286">
        <f t="shared" si="22"/>
        <v>89.512500000000003</v>
      </c>
      <c r="N46" s="287">
        <f t="shared" si="23"/>
        <v>98.594570353740423</v>
      </c>
      <c r="O46" s="287">
        <f t="shared" si="24"/>
        <v>72.017930345849365</v>
      </c>
      <c r="P46" s="288">
        <f t="shared" si="25"/>
        <v>3.3089399875835745</v>
      </c>
    </row>
    <row r="47" spans="1:16" x14ac:dyDescent="0.3">
      <c r="A47" s="276">
        <f t="shared" si="16"/>
        <v>36</v>
      </c>
      <c r="B47" s="285">
        <f t="shared" si="0"/>
        <v>295.1693378449724</v>
      </c>
      <c r="C47" s="286">
        <f t="shared" si="15"/>
        <v>140.61600000000001</v>
      </c>
      <c r="D47" s="287">
        <f t="shared" si="1"/>
        <v>156.76567185829555</v>
      </c>
      <c r="E47" s="287">
        <f t="shared" si="2"/>
        <v>125.98455103205958</v>
      </c>
      <c r="F47" s="288">
        <f t="shared" si="3"/>
        <v>7.679829144000017</v>
      </c>
      <c r="G47" s="285">
        <f t="shared" si="4"/>
        <v>11.402555179585633</v>
      </c>
      <c r="H47" s="286">
        <f t="shared" si="5"/>
        <v>7.8120000000000003</v>
      </c>
      <c r="I47" s="287">
        <f t="shared" si="6"/>
        <v>8.4173159522365797</v>
      </c>
      <c r="J47" s="287">
        <f t="shared" si="7"/>
        <v>5.3617033478087759</v>
      </c>
      <c r="K47" s="288">
        <f t="shared" si="8"/>
        <v>0.2205959999999855</v>
      </c>
      <c r="L47" s="285">
        <f t="shared" si="21"/>
        <v>162.14588998810831</v>
      </c>
      <c r="M47" s="286">
        <f t="shared" si="22"/>
        <v>92.767499999999998</v>
      </c>
      <c r="N47" s="287">
        <f t="shared" si="23"/>
        <v>101.89976260650784</v>
      </c>
      <c r="O47" s="287">
        <f t="shared" si="24"/>
        <v>73.165884145748365</v>
      </c>
      <c r="P47" s="288">
        <f t="shared" si="25"/>
        <v>3.3089399946566651</v>
      </c>
    </row>
    <row r="48" spans="1:16" x14ac:dyDescent="0.3">
      <c r="A48" s="276">
        <f t="shared" si="16"/>
        <v>37</v>
      </c>
      <c r="B48" s="285">
        <f t="shared" si="0"/>
        <v>306.59610924085746</v>
      </c>
      <c r="C48" s="286">
        <f t="shared" si="15"/>
        <v>148.53649999999999</v>
      </c>
      <c r="D48" s="287">
        <f t="shared" si="1"/>
        <v>165.28794379572525</v>
      </c>
      <c r="E48" s="287">
        <f t="shared" si="2"/>
        <v>131.36999236845492</v>
      </c>
      <c r="F48" s="288">
        <f t="shared" si="3"/>
        <v>7.9004251440000077</v>
      </c>
      <c r="G48" s="285">
        <f t="shared" si="4"/>
        <v>11.450324229928542</v>
      </c>
      <c r="H48" s="286">
        <f t="shared" si="5"/>
        <v>8.0289999999999999</v>
      </c>
      <c r="I48" s="287">
        <f t="shared" si="6"/>
        <v>8.6270257733040765</v>
      </c>
      <c r="J48" s="287">
        <f t="shared" si="7"/>
        <v>5.4087556797161049</v>
      </c>
      <c r="K48" s="288">
        <f t="shared" si="8"/>
        <v>0.22059599999999374</v>
      </c>
      <c r="L48" s="285">
        <f t="shared" si="21"/>
        <v>163.57342580538156</v>
      </c>
      <c r="M48" s="286">
        <f t="shared" si="22"/>
        <v>96.022499999999994</v>
      </c>
      <c r="N48" s="287">
        <f t="shared" si="23"/>
        <v>105.18589382660019</v>
      </c>
      <c r="O48" s="287">
        <f t="shared" si="24"/>
        <v>74.253465404266251</v>
      </c>
      <c r="P48" s="288">
        <f t="shared" si="25"/>
        <v>3.3089399977005276</v>
      </c>
    </row>
    <row r="49" spans="1:16" x14ac:dyDescent="0.3">
      <c r="A49" s="276">
        <f t="shared" si="16"/>
        <v>38</v>
      </c>
      <c r="B49" s="285">
        <f t="shared" si="0"/>
        <v>318.0687134653358</v>
      </c>
      <c r="C49" s="286">
        <f t="shared" si="15"/>
        <v>156.67400000000001</v>
      </c>
      <c r="D49" s="287">
        <f t="shared" si="1"/>
        <v>174.01932027340712</v>
      </c>
      <c r="E49" s="287">
        <f t="shared" si="2"/>
        <v>136.80123762179667</v>
      </c>
      <c r="F49" s="288">
        <f t="shared" si="3"/>
        <v>8.121021144000002</v>
      </c>
      <c r="G49" s="285">
        <f t="shared" si="4"/>
        <v>11.494273877888684</v>
      </c>
      <c r="H49" s="286">
        <f t="shared" si="5"/>
        <v>8.2460000000000004</v>
      </c>
      <c r="I49" s="287">
        <f t="shared" si="6"/>
        <v>8.8355261985343709</v>
      </c>
      <c r="J49" s="287">
        <f t="shared" si="7"/>
        <v>5.4533334618154177</v>
      </c>
      <c r="K49" s="288">
        <f t="shared" si="8"/>
        <v>0.22059599999999729</v>
      </c>
      <c r="L49" s="285">
        <f t="shared" si="21"/>
        <v>164.88682216074713</v>
      </c>
      <c r="M49" s="286">
        <f t="shared" si="22"/>
        <v>99.277500000000003</v>
      </c>
      <c r="N49" s="287">
        <f t="shared" si="23"/>
        <v>108.45307393892938</v>
      </c>
      <c r="O49" s="287">
        <f t="shared" si="24"/>
        <v>75.28384920018506</v>
      </c>
      <c r="P49" s="288">
        <f t="shared" si="25"/>
        <v>3.3089399990104353</v>
      </c>
    </row>
    <row r="50" spans="1:16" x14ac:dyDescent="0.3">
      <c r="A50" s="276">
        <f t="shared" si="16"/>
        <v>39</v>
      </c>
      <c r="B50" s="285">
        <f t="shared" si="0"/>
        <v>329.58348592776798</v>
      </c>
      <c r="C50" s="286">
        <f t="shared" si="15"/>
        <v>165.02849999999998</v>
      </c>
      <c r="D50" s="287">
        <f t="shared" si="1"/>
        <v>182.95859538615602</v>
      </c>
      <c r="E50" s="287">
        <f t="shared" si="2"/>
        <v>142.27587789821513</v>
      </c>
      <c r="F50" s="288">
        <f t="shared" si="3"/>
        <v>8.3416171440000006</v>
      </c>
      <c r="G50" s="285">
        <f t="shared" si="4"/>
        <v>11.534709506019336</v>
      </c>
      <c r="H50" s="286">
        <f t="shared" si="5"/>
        <v>8.4629999999999992</v>
      </c>
      <c r="I50" s="287">
        <f t="shared" si="6"/>
        <v>9.0428242025092196</v>
      </c>
      <c r="J50" s="287">
        <f t="shared" si="7"/>
        <v>5.4955668342401358</v>
      </c>
      <c r="K50" s="288">
        <f t="shared" si="8"/>
        <v>0.22059599999999885</v>
      </c>
      <c r="L50" s="285">
        <f t="shared" si="21"/>
        <v>166.09520514169574</v>
      </c>
      <c r="M50" s="286">
        <f t="shared" si="22"/>
        <v>102.5325</v>
      </c>
      <c r="N50" s="287">
        <f t="shared" si="23"/>
        <v>111.70141223447023</v>
      </c>
      <c r="O50" s="287">
        <f t="shared" si="24"/>
        <v>76.260043630327118</v>
      </c>
      <c r="P50" s="288">
        <f t="shared" si="25"/>
        <v>3.3089399995741466</v>
      </c>
    </row>
    <row r="51" spans="1:16" x14ac:dyDescent="0.3">
      <c r="A51" s="276">
        <f t="shared" si="16"/>
        <v>40</v>
      </c>
      <c r="B51" s="285">
        <f t="shared" si="0"/>
        <v>341.13705504200436</v>
      </c>
      <c r="C51" s="286">
        <f t="shared" si="15"/>
        <v>173.6</v>
      </c>
      <c r="D51" s="287">
        <f t="shared" si="1"/>
        <v>192.10457018323763</v>
      </c>
      <c r="E51" s="287">
        <f t="shared" si="2"/>
        <v>147.7916309910338</v>
      </c>
      <c r="F51" s="288">
        <f t="shared" si="3"/>
        <v>8.5622131440000011</v>
      </c>
      <c r="G51" s="285">
        <f t="shared" si="4"/>
        <v>11.571912079832972</v>
      </c>
      <c r="H51" s="286">
        <f t="shared" si="5"/>
        <v>8.68</v>
      </c>
      <c r="I51" s="287">
        <f t="shared" si="6"/>
        <v>9.248926719587983</v>
      </c>
      <c r="J51" s="287">
        <f t="shared" si="7"/>
        <v>5.5355790928668966</v>
      </c>
      <c r="K51" s="288">
        <f t="shared" si="8"/>
        <v>0.22059599999999949</v>
      </c>
      <c r="L51" s="285">
        <f t="shared" si="21"/>
        <v>167.20697115405062</v>
      </c>
      <c r="M51" s="286">
        <f t="shared" si="22"/>
        <v>105.78749999999999</v>
      </c>
      <c r="N51" s="287">
        <f t="shared" si="23"/>
        <v>114.93101737391753</v>
      </c>
      <c r="O51" s="287">
        <f t="shared" si="24"/>
        <v>77.184898591376495</v>
      </c>
      <c r="P51" s="288">
        <f t="shared" si="25"/>
        <v>3.3089399998167361</v>
      </c>
    </row>
    <row r="52" spans="1:16" x14ac:dyDescent="0.3">
      <c r="A52" s="276">
        <f t="shared" si="16"/>
        <v>41</v>
      </c>
      <c r="B52" s="285">
        <f t="shared" si="0"/>
        <v>352.72631879903952</v>
      </c>
      <c r="C52" s="286">
        <f t="shared" si="15"/>
        <v>182.38849999999999</v>
      </c>
      <c r="D52" s="287">
        <f t="shared" si="1"/>
        <v>201.45605262826436</v>
      </c>
      <c r="E52" s="287">
        <f t="shared" si="2"/>
        <v>153.3463347181077</v>
      </c>
      <c r="F52" s="288">
        <f t="shared" si="3"/>
        <v>8.7828091439999998</v>
      </c>
      <c r="G52" s="285">
        <f t="shared" si="4"/>
        <v>11.606140100080042</v>
      </c>
      <c r="H52" s="286">
        <f t="shared" si="5"/>
        <v>8.8970000000000002</v>
      </c>
      <c r="I52" s="287">
        <f t="shared" si="6"/>
        <v>9.4538406441395946</v>
      </c>
      <c r="J52" s="287">
        <f t="shared" si="7"/>
        <v>5.5734870492648492</v>
      </c>
      <c r="K52" s="288">
        <f t="shared" si="8"/>
        <v>0.22059599999999976</v>
      </c>
      <c r="L52" s="285">
        <f t="shared" si="21"/>
        <v>168.22984526409246</v>
      </c>
      <c r="M52" s="286">
        <f t="shared" si="22"/>
        <v>109.0425</v>
      </c>
      <c r="N52" s="287">
        <f t="shared" si="23"/>
        <v>118.14199739131968</v>
      </c>
      <c r="O52" s="287">
        <f t="shared" si="24"/>
        <v>78.061114099851721</v>
      </c>
      <c r="P52" s="288">
        <f t="shared" si="25"/>
        <v>3.3089399999211335</v>
      </c>
    </row>
    <row r="53" spans="1:16" x14ac:dyDescent="0.3">
      <c r="A53" s="276">
        <f t="shared" si="16"/>
        <v>42</v>
      </c>
      <c r="B53" s="285">
        <f t="shared" si="0"/>
        <v>364.34842321281383</v>
      </c>
      <c r="C53" s="286">
        <f t="shared" si="15"/>
        <v>191.39400000000001</v>
      </c>
      <c r="D53" s="287">
        <f t="shared" si="1"/>
        <v>211.01185755931704</v>
      </c>
      <c r="E53" s="287">
        <f t="shared" si="2"/>
        <v>158.93794060956057</v>
      </c>
      <c r="F53" s="288">
        <f t="shared" si="3"/>
        <v>9.0034051440000002</v>
      </c>
      <c r="G53" s="285">
        <f t="shared" si="4"/>
        <v>11.637631398932179</v>
      </c>
      <c r="H53" s="286">
        <f t="shared" si="5"/>
        <v>9.1140000000000008</v>
      </c>
      <c r="I53" s="287">
        <f t="shared" si="6"/>
        <v>9.6575728307731801</v>
      </c>
      <c r="J53" s="287">
        <f t="shared" si="7"/>
        <v>5.6094013717147195</v>
      </c>
      <c r="K53" s="288">
        <f t="shared" si="8"/>
        <v>0.22059599999999988</v>
      </c>
      <c r="L53" s="285">
        <f t="shared" si="21"/>
        <v>169.1709348759054</v>
      </c>
      <c r="M53" s="286">
        <f t="shared" si="22"/>
        <v>112.2975</v>
      </c>
      <c r="N53" s="287">
        <f t="shared" si="23"/>
        <v>121.33445969769321</v>
      </c>
      <c r="O53" s="287">
        <f t="shared" si="24"/>
        <v>78.89124817451939</v>
      </c>
      <c r="P53" s="288">
        <f t="shared" si="25"/>
        <v>3.3089399999660603</v>
      </c>
    </row>
    <row r="54" spans="1:16" x14ac:dyDescent="0.3">
      <c r="A54" s="276">
        <f t="shared" si="16"/>
        <v>43</v>
      </c>
      <c r="B54" s="285">
        <f t="shared" si="0"/>
        <v>376.00074248939393</v>
      </c>
      <c r="C54" s="286">
        <f t="shared" si="15"/>
        <v>200.6165</v>
      </c>
      <c r="D54" s="287">
        <f t="shared" si="1"/>
        <v>220.77080664930102</v>
      </c>
      <c r="E54" s="287">
        <f t="shared" si="2"/>
        <v>164.56450792749325</v>
      </c>
      <c r="F54" s="288">
        <f t="shared" si="3"/>
        <v>9.2240011439999989</v>
      </c>
      <c r="G54" s="285">
        <f t="shared" si="4"/>
        <v>11.666604792550508</v>
      </c>
      <c r="H54" s="286">
        <f t="shared" si="5"/>
        <v>9.3309999999999995</v>
      </c>
      <c r="I54" s="287">
        <f t="shared" si="6"/>
        <v>9.8601300945673724</v>
      </c>
      <c r="J54" s="287">
        <f t="shared" si="7"/>
        <v>5.6434269082931809</v>
      </c>
      <c r="K54" s="288">
        <f t="shared" si="8"/>
        <v>0.22059599999999993</v>
      </c>
      <c r="L54" s="285">
        <f t="shared" si="21"/>
        <v>170.03677911691958</v>
      </c>
      <c r="M54" s="286">
        <f t="shared" si="22"/>
        <v>115.55249999999999</v>
      </c>
      <c r="N54" s="287">
        <f t="shared" si="23"/>
        <v>124.50851108461586</v>
      </c>
      <c r="O54" s="287">
        <f t="shared" si="24"/>
        <v>79.677724304260053</v>
      </c>
      <c r="P54" s="288">
        <f t="shared" si="25"/>
        <v>3.3089399999853941</v>
      </c>
    </row>
    <row r="55" spans="1:16" x14ac:dyDescent="0.3">
      <c r="A55" s="276">
        <f t="shared" si="16"/>
        <v>44</v>
      </c>
      <c r="B55" s="285">
        <f t="shared" si="0"/>
        <v>387.68086078173707</v>
      </c>
      <c r="C55" s="286">
        <f t="shared" ref="C55:C118" si="26">0.217*A55*A55/2</f>
        <v>210.05600000000001</v>
      </c>
      <c r="D55" s="287">
        <f t="shared" ref="D55:D118" si="27">0.259*(172.9*A55-172.9*172.9*(1-EXP(-A55/172.9)))</f>
        <v>230.73172836653129</v>
      </c>
      <c r="E55" s="287">
        <f t="shared" ref="E55:E118" si="28">0.338*(18.51*A55-18.51*18.51*(1-EXP(-A55/18.51)))</f>
        <v>170.22419800020387</v>
      </c>
      <c r="F55" s="288">
        <f t="shared" ref="F55:F118" si="29">0.186*(1.186*A55-1.186*1.186*(1-EXP(-A55/1.186)))</f>
        <v>9.4445971439999994</v>
      </c>
      <c r="G55" s="285">
        <f t="shared" si="4"/>
        <v>11.693261601521911</v>
      </c>
      <c r="H55" s="286">
        <f t="shared" si="5"/>
        <v>9.548</v>
      </c>
      <c r="I55" s="287">
        <f t="shared" si="6"/>
        <v>10.061519211298258</v>
      </c>
      <c r="J55" s="287">
        <f t="shared" si="7"/>
        <v>5.6756629929657567</v>
      </c>
      <c r="K55" s="288">
        <f t="shared" si="8"/>
        <v>0.22059599999999996</v>
      </c>
      <c r="L55" s="285">
        <f t="shared" si="21"/>
        <v>170.8333942748036</v>
      </c>
      <c r="M55" s="286">
        <f t="shared" si="22"/>
        <v>118.8075</v>
      </c>
      <c r="N55" s="287">
        <f t="shared" si="23"/>
        <v>127.66425772779854</v>
      </c>
      <c r="O55" s="287">
        <f t="shared" si="24"/>
        <v>80.422838523188446</v>
      </c>
      <c r="P55" s="288">
        <f t="shared" si="25"/>
        <v>3.3089399999937141</v>
      </c>
    </row>
    <row r="56" spans="1:16" x14ac:dyDescent="0.3">
      <c r="A56" s="276">
        <f t="shared" si="16"/>
        <v>45</v>
      </c>
      <c r="B56" s="285">
        <f t="shared" si="0"/>
        <v>399.38655540326533</v>
      </c>
      <c r="C56" s="286">
        <f t="shared" si="26"/>
        <v>219.71250000000001</v>
      </c>
      <c r="D56" s="287">
        <f t="shared" si="27"/>
        <v>240.8934579355417</v>
      </c>
      <c r="E56" s="287">
        <f t="shared" si="28"/>
        <v>175.91526885437986</v>
      </c>
      <c r="F56" s="288">
        <f t="shared" si="29"/>
        <v>9.6651931439999998</v>
      </c>
      <c r="G56" s="285">
        <f t="shared" si="4"/>
        <v>11.717787049727891</v>
      </c>
      <c r="H56" s="286">
        <f t="shared" si="5"/>
        <v>9.7650000000000006</v>
      </c>
      <c r="I56" s="287">
        <f t="shared" si="6"/>
        <v>10.26174691766604</v>
      </c>
      <c r="J56" s="287">
        <f t="shared" si="7"/>
        <v>5.7062037355818562</v>
      </c>
      <c r="K56" s="288">
        <f t="shared" si="8"/>
        <v>0.22059599999999999</v>
      </c>
      <c r="L56" s="285">
        <f t="shared" si="21"/>
        <v>171.5663156014239</v>
      </c>
      <c r="M56" s="286">
        <f t="shared" si="22"/>
        <v>122.0625</v>
      </c>
      <c r="N56" s="287">
        <f t="shared" si="23"/>
        <v>130.80180519063714</v>
      </c>
      <c r="O56" s="287">
        <f t="shared" si="24"/>
        <v>81.128766113682957</v>
      </c>
      <c r="P56" s="288">
        <f t="shared" si="25"/>
        <v>3.3089399999972953</v>
      </c>
    </row>
    <row r="57" spans="1:16" x14ac:dyDescent="0.3">
      <c r="A57" s="276">
        <f t="shared" si="16"/>
        <v>46</v>
      </c>
      <c r="B57" s="285">
        <f t="shared" si="0"/>
        <v>411.11578138360699</v>
      </c>
      <c r="C57" s="286">
        <f t="shared" si="26"/>
        <v>229.58599999999998</v>
      </c>
      <c r="D57" s="287">
        <f t="shared" si="27"/>
        <v>251.25483729812146</v>
      </c>
      <c r="E57" s="287">
        <f t="shared" si="28"/>
        <v>181.63607012959056</v>
      </c>
      <c r="F57" s="288">
        <f t="shared" si="29"/>
        <v>9.8857891439999985</v>
      </c>
      <c r="G57" s="285">
        <f t="shared" si="4"/>
        <v>11.740351551366082</v>
      </c>
      <c r="H57" s="286">
        <f t="shared" si="5"/>
        <v>9.9819999999999993</v>
      </c>
      <c r="I57" s="287">
        <f t="shared" si="6"/>
        <v>10.460819911520408</v>
      </c>
      <c r="J57" s="287">
        <f t="shared" si="7"/>
        <v>5.7351382966185556</v>
      </c>
      <c r="K57" s="288">
        <f t="shared" si="8"/>
        <v>0.22059599999999999</v>
      </c>
      <c r="L57" s="285">
        <f t="shared" si="21"/>
        <v>172.24063577434359</v>
      </c>
      <c r="M57" s="286">
        <f t="shared" si="22"/>
        <v>125.3175</v>
      </c>
      <c r="N57" s="287">
        <f t="shared" si="23"/>
        <v>133.92125842774411</v>
      </c>
      <c r="O57" s="287">
        <f t="shared" si="24"/>
        <v>81.797567956893076</v>
      </c>
      <c r="P57" s="288">
        <f t="shared" si="25"/>
        <v>3.3089399999988354</v>
      </c>
    </row>
    <row r="58" spans="1:16" x14ac:dyDescent="0.3">
      <c r="A58" s="276">
        <f t="shared" si="16"/>
        <v>47</v>
      </c>
      <c r="B58" s="285">
        <f t="shared" si="0"/>
        <v>422.86665725919363</v>
      </c>
      <c r="C58" s="286">
        <f t="shared" si="26"/>
        <v>239.6765</v>
      </c>
      <c r="D58" s="287">
        <f t="shared" si="27"/>
        <v>261.81471507457888</v>
      </c>
      <c r="E58" s="287">
        <f t="shared" si="28"/>
        <v>187.38503826023396</v>
      </c>
      <c r="F58" s="288">
        <f t="shared" si="29"/>
        <v>10.106385143999999</v>
      </c>
      <c r="G58" s="285">
        <f t="shared" si="4"/>
        <v>11.761111895067195</v>
      </c>
      <c r="H58" s="286">
        <f t="shared" si="5"/>
        <v>10.199</v>
      </c>
      <c r="I58" s="287">
        <f t="shared" si="6"/>
        <v>10.658744852084563</v>
      </c>
      <c r="J58" s="287">
        <f t="shared" si="7"/>
        <v>5.7625511474752065</v>
      </c>
      <c r="K58" s="288">
        <f t="shared" si="8"/>
        <v>0.22059599999999999</v>
      </c>
      <c r="L58" s="285">
        <f t="shared" si="21"/>
        <v>172.86104028311024</v>
      </c>
      <c r="M58" s="286">
        <f t="shared" si="22"/>
        <v>128.57249999999999</v>
      </c>
      <c r="N58" s="287">
        <f t="shared" si="23"/>
        <v>137.02272178845854</v>
      </c>
      <c r="O58" s="287">
        <f t="shared" si="24"/>
        <v>82.431196549264612</v>
      </c>
      <c r="P58" s="288">
        <f t="shared" si="25"/>
        <v>3.3089399999994988</v>
      </c>
    </row>
    <row r="59" spans="1:16" x14ac:dyDescent="0.3">
      <c r="A59" s="276">
        <f t="shared" si="16"/>
        <v>48</v>
      </c>
      <c r="B59" s="285">
        <f t="shared" si="0"/>
        <v>434.63745199997771</v>
      </c>
      <c r="C59" s="286">
        <f t="shared" si="26"/>
        <v>249.98400000000001</v>
      </c>
      <c r="D59" s="287">
        <f t="shared" si="27"/>
        <v>272.57194652522435</v>
      </c>
      <c r="E59" s="287">
        <f t="shared" si="28"/>
        <v>193.16069191087189</v>
      </c>
      <c r="F59" s="288">
        <f t="shared" si="29"/>
        <v>10.326981143999999</v>
      </c>
      <c r="G59" s="285">
        <f t="shared" si="4"/>
        <v>11.780212333335189</v>
      </c>
      <c r="H59" s="286">
        <f t="shared" si="5"/>
        <v>10.416</v>
      </c>
      <c r="I59" s="287">
        <f t="shared" si="6"/>
        <v>10.855528360177997</v>
      </c>
      <c r="J59" s="287">
        <f t="shared" si="7"/>
        <v>5.7885223170787761</v>
      </c>
      <c r="K59" s="288">
        <f t="shared" si="8"/>
        <v>0.22059599999999999</v>
      </c>
      <c r="L59" s="285">
        <f t="shared" si="21"/>
        <v>173.43183998621183</v>
      </c>
      <c r="M59" s="286">
        <f t="shared" si="22"/>
        <v>131.82749999999999</v>
      </c>
      <c r="N59" s="287">
        <f t="shared" si="23"/>
        <v>140.10629902033745</v>
      </c>
      <c r="O59" s="287">
        <f t="shared" si="24"/>
        <v>83.031501702647063</v>
      </c>
      <c r="P59" s="288">
        <f t="shared" si="25"/>
        <v>3.3089399999997844</v>
      </c>
    </row>
    <row r="60" spans="1:16" x14ac:dyDescent="0.3">
      <c r="A60" s="276">
        <f t="shared" si="16"/>
        <v>49</v>
      </c>
      <c r="B60" s="285">
        <f t="shared" si="0"/>
        <v>446.42657298143246</v>
      </c>
      <c r="C60" s="286">
        <f t="shared" si="26"/>
        <v>260.50849999999997</v>
      </c>
      <c r="D60" s="287">
        <f t="shared" si="27"/>
        <v>283.52539351207929</v>
      </c>
      <c r="E60" s="287">
        <f t="shared" si="28"/>
        <v>198.9616276516274</v>
      </c>
      <c r="F60" s="288">
        <f t="shared" si="29"/>
        <v>10.547577144</v>
      </c>
      <c r="G60" s="285">
        <f t="shared" si="4"/>
        <v>11.797785584880629</v>
      </c>
      <c r="H60" s="286">
        <f t="shared" si="5"/>
        <v>10.632999999999999</v>
      </c>
      <c r="I60" s="287">
        <f t="shared" si="6"/>
        <v>11.051177018437945</v>
      </c>
      <c r="J60" s="287">
        <f t="shared" si="7"/>
        <v>5.8131276255198632</v>
      </c>
      <c r="K60" s="288">
        <f t="shared" si="8"/>
        <v>0.22059599999999999</v>
      </c>
      <c r="L60" s="285">
        <f t="shared" si="21"/>
        <v>173.95700106492254</v>
      </c>
      <c r="M60" s="286">
        <f t="shared" si="22"/>
        <v>135.08250000000001</v>
      </c>
      <c r="N60" s="287">
        <f t="shared" si="23"/>
        <v>143.17209327262603</v>
      </c>
      <c r="O60" s="287">
        <f t="shared" si="24"/>
        <v>83.60023594462433</v>
      </c>
      <c r="P60" s="288">
        <f t="shared" si="25"/>
        <v>3.3089399999999074</v>
      </c>
    </row>
    <row r="61" spans="1:16" x14ac:dyDescent="0.3">
      <c r="A61" s="276">
        <f t="shared" si="16"/>
        <v>50</v>
      </c>
      <c r="B61" s="285">
        <f t="shared" si="0"/>
        <v>458.23255491825734</v>
      </c>
      <c r="C61" s="286">
        <f t="shared" si="26"/>
        <v>271.25</v>
      </c>
      <c r="D61" s="287">
        <f t="shared" si="27"/>
        <v>294.67392446080049</v>
      </c>
      <c r="E61" s="287">
        <f t="shared" si="28"/>
        <v>204.78651586101918</v>
      </c>
      <c r="F61" s="288">
        <f t="shared" si="29"/>
        <v>10.768173143999999</v>
      </c>
      <c r="G61" s="285">
        <f t="shared" si="4"/>
        <v>11.813953756811888</v>
      </c>
      <c r="H61" s="286">
        <f t="shared" si="5"/>
        <v>10.85</v>
      </c>
      <c r="I61" s="287">
        <f t="shared" si="6"/>
        <v>11.245697371539615</v>
      </c>
      <c r="J61" s="287">
        <f t="shared" si="7"/>
        <v>5.8364389054014501</v>
      </c>
      <c r="K61" s="288">
        <f t="shared" si="8"/>
        <v>0.22059599999999999</v>
      </c>
      <c r="L61" s="285">
        <f t="shared" si="21"/>
        <v>174.44017258217104</v>
      </c>
      <c r="M61" s="286">
        <f t="shared" si="22"/>
        <v>138.33750000000001</v>
      </c>
      <c r="N61" s="287">
        <f t="shared" si="23"/>
        <v>146.22020709970832</v>
      </c>
      <c r="O61" s="287">
        <f t="shared" si="24"/>
        <v>84.139059634834055</v>
      </c>
      <c r="P61" s="288">
        <f t="shared" si="25"/>
        <v>3.3089399999999602</v>
      </c>
    </row>
    <row r="62" spans="1:16" x14ac:dyDescent="0.3">
      <c r="A62" s="276">
        <f t="shared" si="16"/>
        <v>51</v>
      </c>
      <c r="B62" s="285">
        <f t="shared" si="0"/>
        <v>470.05404968289588</v>
      </c>
      <c r="C62" s="286">
        <f t="shared" si="26"/>
        <v>282.20850000000002</v>
      </c>
      <c r="D62" s="287">
        <f t="shared" si="27"/>
        <v>306.01641432283276</v>
      </c>
      <c r="E62" s="287">
        <f t="shared" si="28"/>
        <v>210.63409684427216</v>
      </c>
      <c r="F62" s="288">
        <f t="shared" si="29"/>
        <v>10.988769143999999</v>
      </c>
      <c r="G62" s="285">
        <f t="shared" si="4"/>
        <v>11.828829193092009</v>
      </c>
      <c r="H62" s="286">
        <f t="shared" si="5"/>
        <v>11.067</v>
      </c>
      <c r="I62" s="287">
        <f t="shared" si="6"/>
        <v>11.439095926415078</v>
      </c>
      <c r="J62" s="287">
        <f t="shared" si="7"/>
        <v>5.8585242115466194</v>
      </c>
      <c r="K62" s="288">
        <f t="shared" si="8"/>
        <v>0.22059599999999999</v>
      </c>
      <c r="L62" s="285">
        <f t="shared" si="21"/>
        <v>174.88471183792348</v>
      </c>
      <c r="M62" s="286">
        <f t="shared" si="22"/>
        <v>141.5925</v>
      </c>
      <c r="N62" s="287">
        <f t="shared" si="23"/>
        <v>149.25074246453738</v>
      </c>
      <c r="O62" s="287">
        <f t="shared" si="24"/>
        <v>84.649545812212523</v>
      </c>
      <c r="P62" s="288">
        <f t="shared" si="25"/>
        <v>3.3089399999999825</v>
      </c>
    </row>
    <row r="63" spans="1:16" x14ac:dyDescent="0.3">
      <c r="A63" s="276">
        <f t="shared" si="16"/>
        <v>52</v>
      </c>
      <c r="B63" s="285">
        <f t="shared" si="0"/>
        <v>481.88981693811951</v>
      </c>
      <c r="C63" s="286">
        <f t="shared" si="26"/>
        <v>293.38400000000001</v>
      </c>
      <c r="D63" s="287">
        <f t="shared" si="27"/>
        <v>317.55174453777204</v>
      </c>
      <c r="E63" s="287">
        <f t="shared" si="28"/>
        <v>216.50317715577089</v>
      </c>
      <c r="F63" s="288">
        <f t="shared" si="29"/>
        <v>11.209365144</v>
      </c>
      <c r="G63" s="285">
        <f t="shared" si="4"/>
        <v>11.842515255156709</v>
      </c>
      <c r="H63" s="286">
        <f t="shared" si="5"/>
        <v>11.284000000000001</v>
      </c>
      <c r="I63" s="287">
        <f t="shared" si="6"/>
        <v>11.631379152470954</v>
      </c>
      <c r="J63" s="287">
        <f t="shared" si="7"/>
        <v>5.879448019677425</v>
      </c>
      <c r="K63" s="288">
        <f t="shared" si="8"/>
        <v>0.22059599999999999</v>
      </c>
      <c r="L63" s="285">
        <f t="shared" si="21"/>
        <v>175.29370769726199</v>
      </c>
      <c r="M63" s="286">
        <f t="shared" si="22"/>
        <v>144.8475</v>
      </c>
      <c r="N63" s="287">
        <f t="shared" si="23"/>
        <v>152.26380074204619</v>
      </c>
      <c r="O63" s="287">
        <f t="shared" si="24"/>
        <v>85.133184787315983</v>
      </c>
      <c r="P63" s="288">
        <f t="shared" si="25"/>
        <v>3.3089399999999927</v>
      </c>
    </row>
    <row r="64" spans="1:16" x14ac:dyDescent="0.3">
      <c r="A64" s="276">
        <f t="shared" si="16"/>
        <v>53</v>
      </c>
      <c r="B64" s="285">
        <f t="shared" si="0"/>
        <v>493.73871551858872</v>
      </c>
      <c r="C64" s="286">
        <f t="shared" si="26"/>
        <v>304.7765</v>
      </c>
      <c r="D64" s="287">
        <f t="shared" si="27"/>
        <v>329.27880299594642</v>
      </c>
      <c r="E64" s="287">
        <f t="shared" si="28"/>
        <v>222.39262611492171</v>
      </c>
      <c r="F64" s="288">
        <f t="shared" si="29"/>
        <v>11.429961144</v>
      </c>
      <c r="G64" s="285">
        <f t="shared" si="4"/>
        <v>11.855107040117606</v>
      </c>
      <c r="H64" s="286">
        <f t="shared" si="5"/>
        <v>11.500999999999999</v>
      </c>
      <c r="I64" s="287">
        <f t="shared" si="6"/>
        <v>11.822553481804821</v>
      </c>
      <c r="J64" s="287">
        <f t="shared" si="7"/>
        <v>5.899271414644967</v>
      </c>
      <c r="K64" s="288">
        <f t="shared" si="8"/>
        <v>0.22059599999999999</v>
      </c>
      <c r="L64" s="285">
        <f t="shared" si="21"/>
        <v>175.67000205325294</v>
      </c>
      <c r="M64" s="286">
        <f t="shared" si="22"/>
        <v>148.10249999999999</v>
      </c>
      <c r="N64" s="287">
        <f t="shared" si="23"/>
        <v>155.25948272253893</v>
      </c>
      <c r="O64" s="287">
        <f t="shared" si="24"/>
        <v>85.591388493125038</v>
      </c>
      <c r="P64" s="288">
        <f t="shared" si="25"/>
        <v>3.3089399999999967</v>
      </c>
    </row>
    <row r="65" spans="1:16" x14ac:dyDescent="0.3">
      <c r="A65" s="276">
        <f t="shared" si="16"/>
        <v>54</v>
      </c>
      <c r="B65" s="285">
        <f t="shared" si="0"/>
        <v>505.59969550150686</v>
      </c>
      <c r="C65" s="286">
        <f t="shared" si="26"/>
        <v>316.38600000000002</v>
      </c>
      <c r="D65" s="287">
        <f t="shared" si="27"/>
        <v>341.19648400121912</v>
      </c>
      <c r="E65" s="287">
        <f t="shared" si="28"/>
        <v>228.3013725052493</v>
      </c>
      <c r="F65" s="288">
        <f t="shared" si="29"/>
        <v>11.650557143999999</v>
      </c>
      <c r="G65" s="285">
        <f t="shared" si="4"/>
        <v>11.866692041541093</v>
      </c>
      <c r="H65" s="286">
        <f t="shared" si="5"/>
        <v>11.718</v>
      </c>
      <c r="I65" s="287">
        <f t="shared" si="6"/>
        <v>12.012625309420365</v>
      </c>
      <c r="J65" s="287">
        <f t="shared" si="7"/>
        <v>5.91805226876017</v>
      </c>
      <c r="K65" s="288">
        <f t="shared" si="8"/>
        <v>0.22059599999999999</v>
      </c>
      <c r="L65" s="285">
        <f t="shared" si="21"/>
        <v>176.01620957373893</v>
      </c>
      <c r="M65" s="286">
        <f t="shared" si="22"/>
        <v>151.35749999999999</v>
      </c>
      <c r="N65" s="287">
        <f t="shared" si="23"/>
        <v>158.23788861506227</v>
      </c>
      <c r="O65" s="287">
        <f t="shared" si="24"/>
        <v>86.025494607034176</v>
      </c>
      <c r="P65" s="288">
        <f t="shared" si="25"/>
        <v>3.3089399999999984</v>
      </c>
    </row>
    <row r="66" spans="1:16" x14ac:dyDescent="0.3">
      <c r="A66" s="276">
        <f t="shared" si="16"/>
        <v>55</v>
      </c>
      <c r="B66" s="285">
        <f t="shared" si="0"/>
        <v>517.47179091126907</v>
      </c>
      <c r="C66" s="286">
        <f t="shared" si="26"/>
        <v>328.21250000000003</v>
      </c>
      <c r="D66" s="287">
        <f t="shared" si="27"/>
        <v>353.30368823399573</v>
      </c>
      <c r="E66" s="287">
        <f t="shared" si="28"/>
        <v>234.22840144709355</v>
      </c>
      <c r="F66" s="288">
        <f t="shared" si="29"/>
        <v>11.871153143999997</v>
      </c>
      <c r="G66" s="285">
        <f t="shared" si="4"/>
        <v>11.877350757394245</v>
      </c>
      <c r="H66" s="286">
        <f t="shared" si="5"/>
        <v>11.935</v>
      </c>
      <c r="I66" s="287">
        <f t="shared" si="6"/>
        <v>12.201600993441319</v>
      </c>
      <c r="J66" s="287">
        <f t="shared" si="7"/>
        <v>5.9358454107458938</v>
      </c>
      <c r="K66" s="288">
        <f t="shared" si="8"/>
        <v>0.22059599999999999</v>
      </c>
      <c r="L66" s="285">
        <f t="shared" si="21"/>
        <v>176.33473586926473</v>
      </c>
      <c r="M66" s="286">
        <f t="shared" si="22"/>
        <v>154.61250000000001</v>
      </c>
      <c r="N66" s="287">
        <f t="shared" si="23"/>
        <v>161.19911805075816</v>
      </c>
      <c r="O66" s="287">
        <f t="shared" si="24"/>
        <v>86.436770456059762</v>
      </c>
      <c r="P66" s="288">
        <f t="shared" si="25"/>
        <v>3.3089399999999993</v>
      </c>
    </row>
    <row r="67" spans="1:16" x14ac:dyDescent="0.3">
      <c r="A67" s="276">
        <f t="shared" si="16"/>
        <v>56</v>
      </c>
      <c r="B67" s="285">
        <f t="shared" si="0"/>
        <v>529.35411300741532</v>
      </c>
      <c r="C67" s="286">
        <f t="shared" si="26"/>
        <v>340.25599999999997</v>
      </c>
      <c r="D67" s="287">
        <f t="shared" si="27"/>
        <v>365.59932271445996</v>
      </c>
      <c r="E67" s="287">
        <f t="shared" si="28"/>
        <v>240.17275143477534</v>
      </c>
      <c r="F67" s="288">
        <f t="shared" si="29"/>
        <v>12.091749144000001</v>
      </c>
      <c r="G67" s="285">
        <f t="shared" si="4"/>
        <v>11.887157249382057</v>
      </c>
      <c r="H67" s="286">
        <f t="shared" si="5"/>
        <v>12.151999999999999</v>
      </c>
      <c r="I67" s="287">
        <f t="shared" si="6"/>
        <v>12.389486855324117</v>
      </c>
      <c r="J67" s="287">
        <f t="shared" si="7"/>
        <v>5.9527027858036039</v>
      </c>
      <c r="K67" s="288">
        <f t="shared" si="8"/>
        <v>0.22059599999999999</v>
      </c>
      <c r="L67" s="285">
        <f t="shared" si="21"/>
        <v>176.6277942083758</v>
      </c>
      <c r="M67" s="286">
        <f t="shared" si="22"/>
        <v>157.86750000000001</v>
      </c>
      <c r="N67" s="287">
        <f t="shared" si="23"/>
        <v>164.14327008619529</v>
      </c>
      <c r="O67" s="287">
        <f t="shared" si="24"/>
        <v>86.826416716667651</v>
      </c>
      <c r="P67" s="288">
        <f t="shared" si="25"/>
        <v>3.3089399999999998</v>
      </c>
    </row>
    <row r="68" spans="1:16" x14ac:dyDescent="0.3">
      <c r="A68" s="276">
        <f t="shared" si="16"/>
        <v>57</v>
      </c>
      <c r="B68" s="285">
        <f t="shared" ref="B68:B131" si="30">12*A68-12*12*(1-EXP(-A68/12))</f>
        <v>541.24584410924933</v>
      </c>
      <c r="C68" s="286">
        <f t="shared" si="26"/>
        <v>352.51650000000001</v>
      </c>
      <c r="D68" s="287">
        <f t="shared" si="27"/>
        <v>378.08230076600194</v>
      </c>
      <c r="E68" s="287">
        <f t="shared" si="28"/>
        <v>246.13351152958208</v>
      </c>
      <c r="F68" s="288">
        <f t="shared" si="29"/>
        <v>12.312345144000002</v>
      </c>
      <c r="G68" s="285">
        <f t="shared" ref="G68:G131" si="31">12*(1-EXP(-A68/12))</f>
        <v>11.896179657562552</v>
      </c>
      <c r="H68" s="286">
        <f t="shared" ref="H68:H131" si="32">0.217*A68</f>
        <v>12.369</v>
      </c>
      <c r="I68" s="287">
        <f t="shared" ref="I68:I131" si="33">0.259*172.9*(1-EXP(-A68/172.9))</f>
        <v>12.576289180069395</v>
      </c>
      <c r="J68" s="287">
        <f t="shared" ref="J68:J131" si="34">0.338*18.51*(1-EXP(-A68/18.51))</f>
        <v>5.9686736072619109</v>
      </c>
      <c r="K68" s="288">
        <f t="shared" ref="K68:K131" si="35">0.186*1.186*(1-EXP(-A68/1.186))</f>
        <v>0.22059599999999999</v>
      </c>
      <c r="L68" s="285">
        <f t="shared" si="21"/>
        <v>176.89742089643551</v>
      </c>
      <c r="M68" s="286">
        <f t="shared" si="22"/>
        <v>161.1225</v>
      </c>
      <c r="N68" s="287">
        <f t="shared" si="23"/>
        <v>167.07044320668413</v>
      </c>
      <c r="O68" s="287">
        <f t="shared" si="24"/>
        <v>87.195570920021495</v>
      </c>
      <c r="P68" s="288">
        <f t="shared" si="25"/>
        <v>3.3089399999999998</v>
      </c>
    </row>
    <row r="69" spans="1:16" x14ac:dyDescent="0.3">
      <c r="A69" s="276">
        <f t="shared" si="16"/>
        <v>58</v>
      </c>
      <c r="B69" s="285">
        <f t="shared" si="30"/>
        <v>553.14623191421379</v>
      </c>
      <c r="C69" s="286">
        <f t="shared" si="26"/>
        <v>364.99400000000003</v>
      </c>
      <c r="D69" s="287">
        <f t="shared" si="27"/>
        <v>390.75154197887178</v>
      </c>
      <c r="E69" s="287">
        <f t="shared" si="28"/>
        <v>252.10981870037824</v>
      </c>
      <c r="F69" s="288">
        <f t="shared" si="29"/>
        <v>12.532941144</v>
      </c>
      <c r="G69" s="285">
        <f t="shared" si="31"/>
        <v>11.904480673815522</v>
      </c>
      <c r="H69" s="286">
        <f t="shared" si="32"/>
        <v>12.586</v>
      </c>
      <c r="I69" s="287">
        <f t="shared" si="33"/>
        <v>12.762014216432204</v>
      </c>
      <c r="J69" s="287">
        <f t="shared" si="34"/>
        <v>5.9838045002496942</v>
      </c>
      <c r="K69" s="288">
        <f t="shared" si="35"/>
        <v>0.22059599999999999</v>
      </c>
      <c r="L69" s="285">
        <f t="shared" si="21"/>
        <v>177.14548942481983</v>
      </c>
      <c r="M69" s="286">
        <f t="shared" si="22"/>
        <v>164.3775</v>
      </c>
      <c r="N69" s="287">
        <f t="shared" si="23"/>
        <v>169.98073532957039</v>
      </c>
      <c r="O69" s="287">
        <f t="shared" si="24"/>
        <v>87.54531077288496</v>
      </c>
      <c r="P69" s="288">
        <f t="shared" si="25"/>
        <v>3.3089399999999998</v>
      </c>
    </row>
    <row r="70" spans="1:16" x14ac:dyDescent="0.3">
      <c r="A70" s="276">
        <f t="shared" si="16"/>
        <v>59</v>
      </c>
      <c r="B70" s="285">
        <f t="shared" si="30"/>
        <v>565.05458427054225</v>
      </c>
      <c r="C70" s="286">
        <f t="shared" si="26"/>
        <v>377.68849999999998</v>
      </c>
      <c r="D70" s="287">
        <f t="shared" si="27"/>
        <v>403.60597217404256</v>
      </c>
      <c r="E70" s="287">
        <f t="shared" si="28"/>
        <v>258.10085530407696</v>
      </c>
      <c r="F70" s="288">
        <f t="shared" si="29"/>
        <v>12.753537143999999</v>
      </c>
      <c r="G70" s="285">
        <f t="shared" si="31"/>
        <v>11.912117977454816</v>
      </c>
      <c r="H70" s="286">
        <f t="shared" si="32"/>
        <v>12.802999999999999</v>
      </c>
      <c r="I70" s="287">
        <f t="shared" si="33"/>
        <v>12.946668177131043</v>
      </c>
      <c r="J70" s="287">
        <f t="shared" si="34"/>
        <v>5.9981396378132441</v>
      </c>
      <c r="K70" s="288">
        <f t="shared" si="35"/>
        <v>0.22059599999999999</v>
      </c>
      <c r="L70" s="285">
        <f t="shared" si="21"/>
        <v>177.37372348880515</v>
      </c>
      <c r="M70" s="286">
        <f t="shared" si="22"/>
        <v>167.63249999999999</v>
      </c>
      <c r="N70" s="287">
        <f t="shared" si="23"/>
        <v>172.87424380751077</v>
      </c>
      <c r="O70" s="287">
        <f t="shared" si="24"/>
        <v>87.876657303873031</v>
      </c>
      <c r="P70" s="288">
        <f t="shared" si="25"/>
        <v>3.3089399999999998</v>
      </c>
    </row>
    <row r="71" spans="1:16" x14ac:dyDescent="0.3">
      <c r="A71" s="276">
        <f t="shared" si="16"/>
        <v>60</v>
      </c>
      <c r="B71" s="285">
        <f t="shared" si="30"/>
        <v>576.97026436786837</v>
      </c>
      <c r="C71" s="286">
        <f t="shared" si="26"/>
        <v>390.59999999999997</v>
      </c>
      <c r="D71" s="287">
        <f t="shared" si="27"/>
        <v>416.64452336727123</v>
      </c>
      <c r="E71" s="287">
        <f t="shared" si="28"/>
        <v>264.1058466986172</v>
      </c>
      <c r="F71" s="288">
        <f t="shared" si="29"/>
        <v>12.974133144000001</v>
      </c>
      <c r="G71" s="285">
        <f t="shared" si="31"/>
        <v>11.919144636010975</v>
      </c>
      <c r="H71" s="286">
        <f t="shared" si="32"/>
        <v>13.02</v>
      </c>
      <c r="I71" s="287">
        <f t="shared" si="33"/>
        <v>13.130257239055689</v>
      </c>
      <c r="J71" s="287">
        <f t="shared" si="34"/>
        <v>6.011720869874817</v>
      </c>
      <c r="K71" s="288">
        <f t="shared" si="35"/>
        <v>0.22059599999999999</v>
      </c>
      <c r="L71" s="285">
        <f t="shared" si="21"/>
        <v>177.58370896460301</v>
      </c>
      <c r="M71" s="286">
        <f t="shared" si="22"/>
        <v>170.88749999999999</v>
      </c>
      <c r="N71" s="287">
        <f t="shared" si="23"/>
        <v>175.75106543172976</v>
      </c>
      <c r="O71" s="287">
        <f t="shared" si="24"/>
        <v>88.190577844237311</v>
      </c>
      <c r="P71" s="288">
        <f t="shared" si="25"/>
        <v>3.3089399999999998</v>
      </c>
    </row>
    <row r="72" spans="1:16" x14ac:dyDescent="0.3">
      <c r="A72" s="276">
        <f t="shared" si="16"/>
        <v>61</v>
      </c>
      <c r="B72" s="285">
        <f t="shared" si="30"/>
        <v>588.8926863123711</v>
      </c>
      <c r="C72" s="286">
        <f t="shared" si="26"/>
        <v>403.7285</v>
      </c>
      <c r="D72" s="287">
        <f t="shared" si="27"/>
        <v>429.86613373337838</v>
      </c>
      <c r="E72" s="287">
        <f t="shared" si="28"/>
        <v>270.12405898147824</v>
      </c>
      <c r="F72" s="288">
        <f t="shared" si="29"/>
        <v>13.194729144000002</v>
      </c>
      <c r="G72" s="285">
        <f t="shared" si="31"/>
        <v>11.925609473969075</v>
      </c>
      <c r="H72" s="286">
        <f t="shared" si="32"/>
        <v>13.237</v>
      </c>
      <c r="I72" s="287">
        <f t="shared" si="33"/>
        <v>13.312787543473808</v>
      </c>
      <c r="J72" s="287">
        <f t="shared" si="34"/>
        <v>6.0245878454090667</v>
      </c>
      <c r="K72" s="288">
        <f t="shared" si="35"/>
        <v>0.22059599999999999</v>
      </c>
      <c r="L72" s="285">
        <f t="shared" si="21"/>
        <v>177.77690492876408</v>
      </c>
      <c r="M72" s="286">
        <f t="shared" si="22"/>
        <v>174.14250000000001</v>
      </c>
      <c r="N72" s="287">
        <f t="shared" si="23"/>
        <v>178.61129643525678</v>
      </c>
      <c r="O72" s="287">
        <f t="shared" si="24"/>
        <v>88.487988851887678</v>
      </c>
      <c r="P72" s="288">
        <f t="shared" si="25"/>
        <v>3.3089399999999998</v>
      </c>
    </row>
    <row r="73" spans="1:16" x14ac:dyDescent="0.3">
      <c r="A73" s="276">
        <f t="shared" si="16"/>
        <v>62</v>
      </c>
      <c r="B73" s="285">
        <f t="shared" si="30"/>
        <v>600.82131105571307</v>
      </c>
      <c r="C73" s="286">
        <f t="shared" si="26"/>
        <v>417.07400000000001</v>
      </c>
      <c r="D73" s="287">
        <f t="shared" si="27"/>
        <v>443.26974757072503</v>
      </c>
      <c r="E73" s="287">
        <f t="shared" si="28"/>
        <v>276.15479684712835</v>
      </c>
      <c r="F73" s="288">
        <f t="shared" si="29"/>
        <v>13.415325144000001</v>
      </c>
      <c r="G73" s="285">
        <f t="shared" si="31"/>
        <v>11.931557412023912</v>
      </c>
      <c r="H73" s="286">
        <f t="shared" si="32"/>
        <v>13.454000000000001</v>
      </c>
      <c r="I73" s="287">
        <f t="shared" si="33"/>
        <v>13.494265196236409</v>
      </c>
      <c r="J73" s="287">
        <f t="shared" si="34"/>
        <v>6.0367781281940429</v>
      </c>
      <c r="K73" s="288">
        <f t="shared" si="35"/>
        <v>0.22059599999999999</v>
      </c>
      <c r="L73" s="285">
        <f t="shared" si="21"/>
        <v>177.95465379651941</v>
      </c>
      <c r="M73" s="286">
        <f t="shared" si="22"/>
        <v>177.39750000000001</v>
      </c>
      <c r="N73" s="287">
        <f t="shared" si="23"/>
        <v>181.455032496146</v>
      </c>
      <c r="O73" s="287">
        <f t="shared" si="24"/>
        <v>88.769758586894355</v>
      </c>
      <c r="P73" s="288">
        <f t="shared" si="25"/>
        <v>3.3089399999999998</v>
      </c>
    </row>
    <row r="74" spans="1:16" x14ac:dyDescent="0.3">
      <c r="A74" s="276">
        <f t="shared" si="16"/>
        <v>63</v>
      </c>
      <c r="B74" s="285">
        <f t="shared" si="30"/>
        <v>612.75564264948207</v>
      </c>
      <c r="C74" s="286">
        <f t="shared" si="26"/>
        <v>430.63649999999996</v>
      </c>
      <c r="D74" s="287">
        <f t="shared" si="27"/>
        <v>456.85431526590145</v>
      </c>
      <c r="E74" s="287">
        <f t="shared" si="28"/>
        <v>282.19740155715363</v>
      </c>
      <c r="F74" s="288">
        <f t="shared" si="29"/>
        <v>13.635921143999999</v>
      </c>
      <c r="G74" s="285">
        <f t="shared" si="31"/>
        <v>11.937029779209823</v>
      </c>
      <c r="H74" s="286">
        <f t="shared" si="32"/>
        <v>13.670999999999999</v>
      </c>
      <c r="I74" s="287">
        <f t="shared" si="33"/>
        <v>13.674696267982062</v>
      </c>
      <c r="J74" s="287">
        <f t="shared" si="34"/>
        <v>6.0483273064746861</v>
      </c>
      <c r="K74" s="288">
        <f t="shared" si="35"/>
        <v>0.22059599999999999</v>
      </c>
      <c r="L74" s="285">
        <f t="shared" si="21"/>
        <v>178.11819064950438</v>
      </c>
      <c r="M74" s="286">
        <f t="shared" si="22"/>
        <v>180.6525</v>
      </c>
      <c r="N74" s="287">
        <f t="shared" si="23"/>
        <v>184.28236874067645</v>
      </c>
      <c r="O74" s="287">
        <f t="shared" si="24"/>
        <v>89.036709646281736</v>
      </c>
      <c r="P74" s="288">
        <f t="shared" si="25"/>
        <v>3.3089399999999998</v>
      </c>
    </row>
    <row r="75" spans="1:16" x14ac:dyDescent="0.3">
      <c r="A75" s="276">
        <f t="shared" si="16"/>
        <v>64</v>
      </c>
      <c r="B75" s="285">
        <f t="shared" si="30"/>
        <v>624.69522479911166</v>
      </c>
      <c r="C75" s="286">
        <f t="shared" si="26"/>
        <v>444.416</v>
      </c>
      <c r="D75" s="287">
        <f t="shared" si="27"/>
        <v>470.61879325861366</v>
      </c>
      <c r="E75" s="287">
        <f t="shared" si="28"/>
        <v>288.25124901714099</v>
      </c>
      <c r="F75" s="288">
        <f t="shared" si="29"/>
        <v>13.856517144</v>
      </c>
      <c r="G75" s="285">
        <f t="shared" si="31"/>
        <v>11.942064600074023</v>
      </c>
      <c r="H75" s="286">
        <f t="shared" si="32"/>
        <v>13.888</v>
      </c>
      <c r="I75" s="287">
        <f t="shared" si="33"/>
        <v>13.854086794340001</v>
      </c>
      <c r="J75" s="287">
        <f t="shared" si="34"/>
        <v>6.0592690968589453</v>
      </c>
      <c r="K75" s="288">
        <f t="shared" si="35"/>
        <v>0.22059599999999999</v>
      </c>
      <c r="L75" s="285">
        <f t="shared" si="21"/>
        <v>178.26865181767928</v>
      </c>
      <c r="M75" s="286">
        <f t="shared" si="22"/>
        <v>183.9075</v>
      </c>
      <c r="N75" s="287">
        <f t="shared" si="23"/>
        <v>187.09339974653435</v>
      </c>
      <c r="O75" s="287">
        <f t="shared" si="24"/>
        <v>89.289621365513611</v>
      </c>
      <c r="P75" s="288">
        <f t="shared" si="25"/>
        <v>3.3089399999999998</v>
      </c>
    </row>
    <row r="76" spans="1:16" x14ac:dyDescent="0.3">
      <c r="A76" s="276">
        <f t="shared" si="16"/>
        <v>65</v>
      </c>
      <c r="B76" s="285">
        <f t="shared" si="30"/>
        <v>636.63963769333452</v>
      </c>
      <c r="C76" s="286">
        <f t="shared" si="26"/>
        <v>458.41250000000002</v>
      </c>
      <c r="D76" s="287">
        <f t="shared" si="27"/>
        <v>484.56214400677743</v>
      </c>
      <c r="E76" s="287">
        <f t="shared" si="28"/>
        <v>294.31574795469999</v>
      </c>
      <c r="F76" s="288">
        <f t="shared" si="29"/>
        <v>14.077113144000002</v>
      </c>
      <c r="G76" s="285">
        <f t="shared" si="31"/>
        <v>11.946696858888789</v>
      </c>
      <c r="H76" s="286">
        <f t="shared" si="32"/>
        <v>14.105</v>
      </c>
      <c r="I76" s="287">
        <f t="shared" si="33"/>
        <v>14.032442776131997</v>
      </c>
      <c r="J76" s="287">
        <f t="shared" si="34"/>
        <v>6.0696354427498669</v>
      </c>
      <c r="K76" s="288">
        <f t="shared" si="35"/>
        <v>0.22059599999999999</v>
      </c>
      <c r="L76" s="285">
        <f t="shared" si="21"/>
        <v>178.40708277507719</v>
      </c>
      <c r="M76" s="286">
        <f t="shared" si="22"/>
        <v>187.16249999999999</v>
      </c>
      <c r="N76" s="287">
        <f t="shared" si="23"/>
        <v>189.88821954597654</v>
      </c>
      <c r="O76" s="287">
        <f t="shared" si="24"/>
        <v>89.529232093680818</v>
      </c>
      <c r="P76" s="288">
        <f t="shared" si="25"/>
        <v>3.3089399999999998</v>
      </c>
    </row>
    <row r="77" spans="1:16" x14ac:dyDescent="0.3">
      <c r="A77" s="276">
        <f t="shared" si="16"/>
        <v>66</v>
      </c>
      <c r="B77" s="285">
        <f t="shared" si="30"/>
        <v>648.58849508713888</v>
      </c>
      <c r="C77" s="286">
        <f t="shared" si="26"/>
        <v>472.62599999999998</v>
      </c>
      <c r="D77" s="287">
        <f t="shared" si="27"/>
        <v>498.68333595180985</v>
      </c>
      <c r="E77" s="287">
        <f t="shared" si="28"/>
        <v>300.39033819330575</v>
      </c>
      <c r="F77" s="288">
        <f t="shared" si="29"/>
        <v>14.297709144000001</v>
      </c>
      <c r="G77" s="285">
        <f t="shared" si="31"/>
        <v>11.950958742738433</v>
      </c>
      <c r="H77" s="286">
        <f t="shared" si="32"/>
        <v>14.321999999999999</v>
      </c>
      <c r="I77" s="287">
        <f t="shared" si="33"/>
        <v>14.209770179573106</v>
      </c>
      <c r="J77" s="287">
        <f t="shared" si="34"/>
        <v>6.0794566076009895</v>
      </c>
      <c r="K77" s="288">
        <f t="shared" si="35"/>
        <v>0.22059599999999999</v>
      </c>
      <c r="L77" s="285">
        <f t="shared" si="21"/>
        <v>178.53444540424294</v>
      </c>
      <c r="M77" s="286">
        <f t="shared" si="22"/>
        <v>190.41749999999999</v>
      </c>
      <c r="N77" s="287">
        <f t="shared" si="23"/>
        <v>192.66692162897624</v>
      </c>
      <c r="O77" s="287">
        <f t="shared" si="24"/>
        <v>89.75624134903363</v>
      </c>
      <c r="P77" s="288">
        <f t="shared" si="25"/>
        <v>3.3089399999999998</v>
      </c>
    </row>
    <row r="78" spans="1:16" x14ac:dyDescent="0.3">
      <c r="A78" s="276">
        <f t="shared" ref="A78:A141" si="36">A77+1</f>
        <v>67</v>
      </c>
      <c r="B78" s="285">
        <f t="shared" si="30"/>
        <v>660.54144161795887</v>
      </c>
      <c r="C78" s="286">
        <f t="shared" si="26"/>
        <v>487.05649999999997</v>
      </c>
      <c r="D78" s="287">
        <f t="shared" si="27"/>
        <v>512.9813434841227</v>
      </c>
      <c r="E78" s="287">
        <f t="shared" si="28"/>
        <v>306.47448901692223</v>
      </c>
      <c r="F78" s="288">
        <f t="shared" si="29"/>
        <v>14.518305143999999</v>
      </c>
      <c r="G78" s="285">
        <f t="shared" si="31"/>
        <v>11.954879865170094</v>
      </c>
      <c r="H78" s="286">
        <f t="shared" si="32"/>
        <v>14.539</v>
      </c>
      <c r="I78" s="287">
        <f t="shared" si="33"/>
        <v>14.386074936471241</v>
      </c>
      <c r="J78" s="287">
        <f t="shared" si="34"/>
        <v>6.0887612632673029</v>
      </c>
      <c r="K78" s="288">
        <f t="shared" si="35"/>
        <v>0.22059599999999999</v>
      </c>
      <c r="L78" s="285">
        <f t="shared" si="21"/>
        <v>178.65162467983939</v>
      </c>
      <c r="M78" s="286">
        <f t="shared" si="22"/>
        <v>193.67249999999999</v>
      </c>
      <c r="N78" s="287">
        <f t="shared" si="23"/>
        <v>195.42959894635035</v>
      </c>
      <c r="O78" s="287">
        <f t="shared" si="24"/>
        <v>89.971311861151378</v>
      </c>
      <c r="P78" s="288">
        <f t="shared" si="25"/>
        <v>3.3089399999999998</v>
      </c>
    </row>
    <row r="79" spans="1:16" x14ac:dyDescent="0.3">
      <c r="A79" s="276">
        <f t="shared" si="36"/>
        <v>68</v>
      </c>
      <c r="B79" s="285">
        <f t="shared" si="30"/>
        <v>672.49815033645086</v>
      </c>
      <c r="C79" s="286">
        <f t="shared" si="26"/>
        <v>501.70400000000001</v>
      </c>
      <c r="D79" s="287">
        <f t="shared" si="27"/>
        <v>527.45514690881498</v>
      </c>
      <c r="E79" s="287">
        <f t="shared" si="28"/>
        <v>312.5676976206334</v>
      </c>
      <c r="F79" s="288">
        <f t="shared" si="29"/>
        <v>14.738901144</v>
      </c>
      <c r="G79" s="285">
        <f t="shared" si="31"/>
        <v>11.958487471962423</v>
      </c>
      <c r="H79" s="286">
        <f t="shared" si="32"/>
        <v>14.756</v>
      </c>
      <c r="I79" s="287">
        <f t="shared" si="33"/>
        <v>14.561362944425591</v>
      </c>
      <c r="J79" s="287">
        <f t="shared" si="34"/>
        <v>6.0975765737097047</v>
      </c>
      <c r="K79" s="288">
        <f t="shared" si="35"/>
        <v>0.22059599999999999</v>
      </c>
      <c r="L79" s="285">
        <f t="shared" si="21"/>
        <v>178.7594348178622</v>
      </c>
      <c r="M79" s="286">
        <f t="shared" si="22"/>
        <v>196.92750000000001</v>
      </c>
      <c r="N79" s="287">
        <f t="shared" si="23"/>
        <v>198.1763439128687</v>
      </c>
      <c r="O79" s="287">
        <f t="shared" si="24"/>
        <v>90.175071505711742</v>
      </c>
      <c r="P79" s="288">
        <f t="shared" si="25"/>
        <v>3.3089399999999998</v>
      </c>
    </row>
    <row r="80" spans="1:16" x14ac:dyDescent="0.3">
      <c r="A80" s="276">
        <f t="shared" si="36"/>
        <v>69</v>
      </c>
      <c r="B80" s="285">
        <f t="shared" si="30"/>
        <v>684.45832043469738</v>
      </c>
      <c r="C80" s="286">
        <f t="shared" si="26"/>
        <v>516.56849999999997</v>
      </c>
      <c r="D80" s="287">
        <f t="shared" si="27"/>
        <v>542.1037324115639</v>
      </c>
      <c r="E80" s="287">
        <f t="shared" si="28"/>
        <v>318.66948764275662</v>
      </c>
      <c r="F80" s="288">
        <f t="shared" si="29"/>
        <v>14.959497144000002</v>
      </c>
      <c r="G80" s="285">
        <f t="shared" si="31"/>
        <v>11.961806630441885</v>
      </c>
      <c r="H80" s="286">
        <f t="shared" si="32"/>
        <v>14.973000000000001</v>
      </c>
      <c r="I80" s="287">
        <f t="shared" si="33"/>
        <v>14.735640067023922</v>
      </c>
      <c r="J80" s="287">
        <f t="shared" si="34"/>
        <v>6.1059282742973213</v>
      </c>
      <c r="K80" s="288">
        <f t="shared" si="35"/>
        <v>0.22059599999999999</v>
      </c>
      <c r="L80" s="285">
        <f t="shared" si="21"/>
        <v>178.8586249331905</v>
      </c>
      <c r="M80" s="286">
        <f t="shared" si="22"/>
        <v>200.1825</v>
      </c>
      <c r="N80" s="287">
        <f t="shared" si="23"/>
        <v>200.90724841034532</v>
      </c>
      <c r="O80" s="287">
        <f t="shared" si="24"/>
        <v>90.36811513750736</v>
      </c>
      <c r="P80" s="288">
        <f t="shared" si="25"/>
        <v>3.3089399999999998</v>
      </c>
    </row>
    <row r="81" spans="1:16" x14ac:dyDescent="0.3">
      <c r="A81" s="276">
        <f t="shared" si="36"/>
        <v>70</v>
      </c>
      <c r="B81" s="285">
        <f t="shared" si="30"/>
        <v>696.42167515605388</v>
      </c>
      <c r="C81" s="286">
        <f t="shared" si="26"/>
        <v>531.65</v>
      </c>
      <c r="D81" s="287">
        <f t="shared" si="27"/>
        <v>556.92609202470885</v>
      </c>
      <c r="E81" s="287">
        <f t="shared" si="28"/>
        <v>324.7794077741554</v>
      </c>
      <c r="F81" s="288">
        <f t="shared" si="29"/>
        <v>15.180093144000001</v>
      </c>
      <c r="G81" s="285">
        <f t="shared" si="31"/>
        <v>11.964860403662181</v>
      </c>
      <c r="H81" s="286">
        <f t="shared" si="32"/>
        <v>15.19</v>
      </c>
      <c r="I81" s="287">
        <f t="shared" si="33"/>
        <v>14.908912134038699</v>
      </c>
      <c r="J81" s="287">
        <f t="shared" si="34"/>
        <v>6.1138407469392018</v>
      </c>
      <c r="K81" s="288">
        <f t="shared" si="35"/>
        <v>0.22059599999999999</v>
      </c>
      <c r="L81" s="285">
        <f t="shared" si="21"/>
        <v>178.94988424478476</v>
      </c>
      <c r="M81" s="286">
        <f t="shared" si="22"/>
        <v>203.4375</v>
      </c>
      <c r="N81" s="287">
        <f t="shared" si="23"/>
        <v>203.62240379071218</v>
      </c>
      <c r="O81" s="287">
        <f t="shared" si="24"/>
        <v>90.551006327061884</v>
      </c>
      <c r="P81" s="288">
        <f t="shared" si="25"/>
        <v>3.3089399999999998</v>
      </c>
    </row>
    <row r="82" spans="1:16" x14ac:dyDescent="0.3">
      <c r="A82" s="276">
        <f t="shared" si="36"/>
        <v>71</v>
      </c>
      <c r="B82" s="285">
        <f t="shared" si="30"/>
        <v>708.38795987211529</v>
      </c>
      <c r="C82" s="286">
        <f t="shared" si="26"/>
        <v>546.94849999999997</v>
      </c>
      <c r="D82" s="287">
        <f t="shared" si="27"/>
        <v>571.92122359353607</v>
      </c>
      <c r="E82" s="287">
        <f t="shared" si="28"/>
        <v>330.89703044068978</v>
      </c>
      <c r="F82" s="288">
        <f t="shared" si="29"/>
        <v>15.400689143999999</v>
      </c>
      <c r="G82" s="285">
        <f t="shared" si="31"/>
        <v>11.967670010657063</v>
      </c>
      <c r="H82" s="286">
        <f t="shared" si="32"/>
        <v>15.407</v>
      </c>
      <c r="I82" s="287">
        <f t="shared" si="33"/>
        <v>15.081184941622116</v>
      </c>
      <c r="J82" s="287">
        <f t="shared" si="34"/>
        <v>6.121337091264734</v>
      </c>
      <c r="K82" s="288">
        <f t="shared" si="35"/>
        <v>0.22059599999999999</v>
      </c>
      <c r="L82" s="285">
        <f t="shared" si="21"/>
        <v>179.03384686469997</v>
      </c>
      <c r="M82" s="286">
        <f t="shared" si="22"/>
        <v>206.6925</v>
      </c>
      <c r="N82" s="287">
        <f t="shared" si="23"/>
        <v>206.32190087907529</v>
      </c>
      <c r="O82" s="287">
        <f t="shared" si="24"/>
        <v>90.724279005914497</v>
      </c>
      <c r="P82" s="288">
        <f t="shared" si="25"/>
        <v>3.3089399999999998</v>
      </c>
    </row>
    <row r="83" spans="1:16" x14ac:dyDescent="0.3">
      <c r="A83" s="276">
        <f t="shared" si="36"/>
        <v>72</v>
      </c>
      <c r="B83" s="285">
        <f t="shared" si="30"/>
        <v>720.35694031343996</v>
      </c>
      <c r="C83" s="286">
        <f t="shared" si="26"/>
        <v>562.46400000000006</v>
      </c>
      <c r="D83" s="287">
        <f t="shared" si="27"/>
        <v>587.0881307427544</v>
      </c>
      <c r="E83" s="287">
        <f t="shared" si="28"/>
        <v>337.02195055495889</v>
      </c>
      <c r="F83" s="288">
        <f t="shared" si="29"/>
        <v>15.621285144</v>
      </c>
      <c r="G83" s="285">
        <f t="shared" si="31"/>
        <v>11.970254973880003</v>
      </c>
      <c r="H83" s="286">
        <f t="shared" si="32"/>
        <v>15.624000000000001</v>
      </c>
      <c r="I83" s="287">
        <f t="shared" si="33"/>
        <v>15.252464252499975</v>
      </c>
      <c r="J83" s="287">
        <f t="shared" si="34"/>
        <v>6.1284391920605694</v>
      </c>
      <c r="K83" s="288">
        <f t="shared" si="35"/>
        <v>0.22059599999999999</v>
      </c>
      <c r="L83" s="285">
        <f t="shared" si="21"/>
        <v>179.11109620419057</v>
      </c>
      <c r="M83" s="286">
        <f t="shared" si="22"/>
        <v>209.94749999999999</v>
      </c>
      <c r="N83" s="287">
        <f t="shared" si="23"/>
        <v>209.0058299767521</v>
      </c>
      <c r="O83" s="287">
        <f t="shared" si="24"/>
        <v>90.888439025376854</v>
      </c>
      <c r="P83" s="288">
        <f t="shared" si="25"/>
        <v>3.3089399999999998</v>
      </c>
    </row>
    <row r="84" spans="1:16" x14ac:dyDescent="0.3">
      <c r="A84" s="276">
        <f t="shared" si="36"/>
        <v>73</v>
      </c>
      <c r="B84" s="285">
        <f t="shared" si="30"/>
        <v>732.3284009417365</v>
      </c>
      <c r="C84" s="286">
        <f t="shared" si="26"/>
        <v>578.19650000000001</v>
      </c>
      <c r="D84" s="287">
        <f t="shared" si="27"/>
        <v>602.42582284316518</v>
      </c>
      <c r="E84" s="287">
        <f t="shared" si="28"/>
        <v>343.15378433369074</v>
      </c>
      <c r="F84" s="288">
        <f t="shared" si="29"/>
        <v>15.841881144000002</v>
      </c>
      <c r="G84" s="285">
        <f t="shared" si="31"/>
        <v>11.972633254855294</v>
      </c>
      <c r="H84" s="286">
        <f t="shared" si="32"/>
        <v>15.840999999999999</v>
      </c>
      <c r="I84" s="287">
        <f t="shared" si="33"/>
        <v>15.422755796164457</v>
      </c>
      <c r="J84" s="287">
        <f t="shared" si="34"/>
        <v>6.1351677831609566</v>
      </c>
      <c r="K84" s="288">
        <f t="shared" si="35"/>
        <v>0.22059599999999999</v>
      </c>
      <c r="L84" s="285">
        <f t="shared" si="21"/>
        <v>179.18216902752275</v>
      </c>
      <c r="M84" s="286">
        <f t="shared" si="22"/>
        <v>213.20249999999999</v>
      </c>
      <c r="N84" s="287">
        <f t="shared" si="23"/>
        <v>211.67428086429285</v>
      </c>
      <c r="O84" s="287">
        <f t="shared" si="24"/>
        <v>91.043965633312553</v>
      </c>
      <c r="P84" s="288">
        <f t="shared" si="25"/>
        <v>3.3089399999999998</v>
      </c>
    </row>
    <row r="85" spans="1:16" x14ac:dyDescent="0.3">
      <c r="A85" s="276">
        <f t="shared" si="36"/>
        <v>74</v>
      </c>
      <c r="B85" s="285">
        <f t="shared" si="30"/>
        <v>744.30214345220361</v>
      </c>
      <c r="C85" s="286">
        <f t="shared" si="26"/>
        <v>594.14599999999996</v>
      </c>
      <c r="D85" s="287">
        <f t="shared" si="27"/>
        <v>617.93331497852671</v>
      </c>
      <c r="E85" s="287">
        <f t="shared" si="28"/>
        <v>349.29216817732765</v>
      </c>
      <c r="F85" s="288">
        <f t="shared" si="29"/>
        <v>16.062477143999999</v>
      </c>
      <c r="G85" s="285">
        <f t="shared" si="31"/>
        <v>11.97482137898303</v>
      </c>
      <c r="H85" s="286">
        <f t="shared" si="32"/>
        <v>16.058</v>
      </c>
      <c r="I85" s="287">
        <f t="shared" si="33"/>
        <v>15.592065269065777</v>
      </c>
      <c r="J85" s="287">
        <f t="shared" si="34"/>
        <v>6.1415425079779791</v>
      </c>
      <c r="K85" s="288">
        <f t="shared" si="35"/>
        <v>0.22059599999999999</v>
      </c>
      <c r="L85" s="285">
        <f t="shared" si="21"/>
        <v>179.24755918166144</v>
      </c>
      <c r="M85" s="286">
        <f t="shared" si="22"/>
        <v>216.45750000000001</v>
      </c>
      <c r="N85" s="287">
        <f t="shared" si="23"/>
        <v>214.32734280448381</v>
      </c>
      <c r="O85" s="287">
        <f t="shared" si="24"/>
        <v>91.191312873250766</v>
      </c>
      <c r="P85" s="288">
        <f t="shared" si="25"/>
        <v>3.3089399999999998</v>
      </c>
    </row>
    <row r="86" spans="1:16" x14ac:dyDescent="0.3">
      <c r="A86" s="276">
        <f t="shared" si="36"/>
        <v>75</v>
      </c>
      <c r="B86" s="285">
        <f t="shared" si="30"/>
        <v>756.27798539561672</v>
      </c>
      <c r="C86" s="286">
        <f t="shared" si="26"/>
        <v>610.3125</v>
      </c>
      <c r="D86" s="287">
        <f t="shared" si="27"/>
        <v>633.60962791260476</v>
      </c>
      <c r="E86" s="287">
        <f t="shared" si="28"/>
        <v>355.43675760853574</v>
      </c>
      <c r="F86" s="288">
        <f t="shared" si="29"/>
        <v>16.283073143999999</v>
      </c>
      <c r="G86" s="285">
        <f t="shared" si="31"/>
        <v>11.976834550365268</v>
      </c>
      <c r="H86" s="286">
        <f t="shared" si="32"/>
        <v>16.274999999999999</v>
      </c>
      <c r="I86" s="287">
        <f t="shared" si="33"/>
        <v>15.760398334802746</v>
      </c>
      <c r="J86" s="287">
        <f t="shared" si="34"/>
        <v>6.1475819768484268</v>
      </c>
      <c r="K86" s="288">
        <f t="shared" si="35"/>
        <v>0.22059599999999999</v>
      </c>
      <c r="L86" s="285">
        <f t="shared" si="21"/>
        <v>179.30772102774847</v>
      </c>
      <c r="M86" s="286">
        <f t="shared" si="22"/>
        <v>219.71250000000001</v>
      </c>
      <c r="N86" s="287">
        <f t="shared" si="23"/>
        <v>216.96510454533274</v>
      </c>
      <c r="O86" s="287">
        <f t="shared" si="24"/>
        <v>91.330910909918487</v>
      </c>
      <c r="P86" s="288">
        <f t="shared" si="25"/>
        <v>3.3089399999999998</v>
      </c>
    </row>
    <row r="87" spans="1:16" x14ac:dyDescent="0.3">
      <c r="A87" s="276">
        <f t="shared" si="36"/>
        <v>76</v>
      </c>
      <c r="B87" s="285">
        <f t="shared" si="30"/>
        <v>768.25575891058577</v>
      </c>
      <c r="C87" s="286">
        <f t="shared" si="26"/>
        <v>626.69600000000003</v>
      </c>
      <c r="D87" s="287">
        <f t="shared" si="27"/>
        <v>649.45378805641758</v>
      </c>
      <c r="E87" s="287">
        <f t="shared" si="28"/>
        <v>361.58722626653929</v>
      </c>
      <c r="F87" s="288">
        <f t="shared" si="29"/>
        <v>16.503669144</v>
      </c>
      <c r="G87" s="285">
        <f t="shared" si="31"/>
        <v>11.978686757451186</v>
      </c>
      <c r="H87" s="286">
        <f t="shared" si="32"/>
        <v>16.492000000000001</v>
      </c>
      <c r="I87" s="287">
        <f t="shared" si="33"/>
        <v>15.927760624312217</v>
      </c>
      <c r="J87" s="287">
        <f t="shared" si="34"/>
        <v>6.1533038213647133</v>
      </c>
      <c r="K87" s="288">
        <f t="shared" si="35"/>
        <v>0.22059599999999999</v>
      </c>
      <c r="L87" s="285">
        <f t="shared" si="21"/>
        <v>179.36307259821467</v>
      </c>
      <c r="M87" s="286">
        <f t="shared" si="22"/>
        <v>222.9675</v>
      </c>
      <c r="N87" s="287">
        <f t="shared" si="23"/>
        <v>219.58765432303818</v>
      </c>
      <c r="O87" s="287">
        <f t="shared" si="24"/>
        <v>91.463167285061004</v>
      </c>
      <c r="P87" s="288">
        <f t="shared" si="25"/>
        <v>3.3089399999999998</v>
      </c>
    </row>
    <row r="88" spans="1:16" x14ac:dyDescent="0.3">
      <c r="A88" s="276">
        <f t="shared" si="36"/>
        <v>77</v>
      </c>
      <c r="B88" s="285">
        <f t="shared" si="30"/>
        <v>780.23530955717615</v>
      </c>
      <c r="C88" s="286">
        <f t="shared" si="26"/>
        <v>643.29650000000004</v>
      </c>
      <c r="D88" s="287">
        <f t="shared" si="27"/>
        <v>665.46482743566685</v>
      </c>
      <c r="E88" s="287">
        <f t="shared" si="28"/>
        <v>367.74326495434536</v>
      </c>
      <c r="F88" s="288">
        <f t="shared" si="29"/>
        <v>16.724265144</v>
      </c>
      <c r="G88" s="285">
        <f t="shared" si="31"/>
        <v>11.980390870235325</v>
      </c>
      <c r="H88" s="286">
        <f t="shared" si="32"/>
        <v>16.709</v>
      </c>
      <c r="I88" s="287">
        <f t="shared" si="33"/>
        <v>16.094157736057451</v>
      </c>
      <c r="J88" s="287">
        <f t="shared" si="34"/>
        <v>6.1587247458484446</v>
      </c>
      <c r="K88" s="288">
        <f t="shared" si="35"/>
        <v>0.22059599999999999</v>
      </c>
      <c r="L88" s="285">
        <f t="shared" si="21"/>
        <v>179.41399850146303</v>
      </c>
      <c r="M88" s="286">
        <f t="shared" si="22"/>
        <v>226.2225</v>
      </c>
      <c r="N88" s="287">
        <f t="shared" si="23"/>
        <v>222.19507986494082</v>
      </c>
      <c r="O88" s="287">
        <f t="shared" si="24"/>
        <v>91.588468107217054</v>
      </c>
      <c r="P88" s="288">
        <f t="shared" si="25"/>
        <v>3.3089399999999998</v>
      </c>
    </row>
    <row r="89" spans="1:16" x14ac:dyDescent="0.3">
      <c r="A89" s="276">
        <f t="shared" si="36"/>
        <v>78</v>
      </c>
      <c r="B89" s="285">
        <f t="shared" si="30"/>
        <v>792.21649524378881</v>
      </c>
      <c r="C89" s="286">
        <f t="shared" si="26"/>
        <v>660.11399999999992</v>
      </c>
      <c r="D89" s="287">
        <f t="shared" si="27"/>
        <v>681.64178365835949</v>
      </c>
      <c r="E89" s="287">
        <f t="shared" si="28"/>
        <v>373.90458073607567</v>
      </c>
      <c r="F89" s="288">
        <f t="shared" si="29"/>
        <v>16.944861144000001</v>
      </c>
      <c r="G89" s="285">
        <f t="shared" si="31"/>
        <v>11.981958729684269</v>
      </c>
      <c r="H89" s="286">
        <f t="shared" si="32"/>
        <v>16.925999999999998</v>
      </c>
      <c r="I89" s="287">
        <f t="shared" si="33"/>
        <v>16.259595236215386</v>
      </c>
      <c r="J89" s="287">
        <f t="shared" si="34"/>
        <v>6.1638605761169334</v>
      </c>
      <c r="K89" s="288">
        <f t="shared" si="35"/>
        <v>0.22059599999999999</v>
      </c>
      <c r="L89" s="285">
        <f t="shared" si="21"/>
        <v>179.46085259430666</v>
      </c>
      <c r="M89" s="286">
        <f t="shared" si="22"/>
        <v>229.47749999999999</v>
      </c>
      <c r="N89" s="287">
        <f t="shared" si="23"/>
        <v>224.7874683924579</v>
      </c>
      <c r="O89" s="287">
        <f t="shared" si="24"/>
        <v>91.707179178922019</v>
      </c>
      <c r="P89" s="288">
        <f t="shared" si="25"/>
        <v>3.3089399999999998</v>
      </c>
    </row>
    <row r="90" spans="1:16" x14ac:dyDescent="0.3">
      <c r="A90" s="276">
        <f t="shared" si="36"/>
        <v>79</v>
      </c>
      <c r="B90" s="285">
        <f t="shared" si="30"/>
        <v>804.19918523984165</v>
      </c>
      <c r="C90" s="286">
        <f t="shared" si="26"/>
        <v>677.14850000000001</v>
      </c>
      <c r="D90" s="287">
        <f t="shared" si="27"/>
        <v>697.98369988261504</v>
      </c>
      <c r="E90" s="287">
        <f t="shared" si="28"/>
        <v>380.07089608177085</v>
      </c>
      <c r="F90" s="288">
        <f t="shared" si="29"/>
        <v>17.165457143999998</v>
      </c>
      <c r="G90" s="285">
        <f t="shared" si="31"/>
        <v>11.983401230013195</v>
      </c>
      <c r="H90" s="286">
        <f t="shared" si="32"/>
        <v>17.143000000000001</v>
      </c>
      <c r="I90" s="287">
        <f t="shared" si="33"/>
        <v>16.42407865886284</v>
      </c>
      <c r="J90" s="287">
        <f t="shared" si="34"/>
        <v>6.1687263056849941</v>
      </c>
      <c r="K90" s="288">
        <f t="shared" si="35"/>
        <v>0.22059599999999999</v>
      </c>
      <c r="L90" s="285">
        <f t="shared" si="21"/>
        <v>179.50396044072994</v>
      </c>
      <c r="M90" s="286">
        <f t="shared" si="22"/>
        <v>232.73249999999999</v>
      </c>
      <c r="N90" s="287">
        <f t="shared" si="23"/>
        <v>227.36490662400107</v>
      </c>
      <c r="O90" s="287">
        <f t="shared" si="24"/>
        <v>91.819647064629834</v>
      </c>
      <c r="P90" s="288">
        <f t="shared" si="25"/>
        <v>3.3089399999999998</v>
      </c>
    </row>
    <row r="91" spans="1:16" x14ac:dyDescent="0.3">
      <c r="A91" s="276">
        <f t="shared" si="36"/>
        <v>80</v>
      </c>
      <c r="B91" s="285">
        <f t="shared" si="30"/>
        <v>816.18325926739294</v>
      </c>
      <c r="C91" s="286">
        <f t="shared" si="26"/>
        <v>694.4</v>
      </c>
      <c r="D91" s="287">
        <f t="shared" si="27"/>
        <v>714.48962478465512</v>
      </c>
      <c r="E91" s="287">
        <f t="shared" si="28"/>
        <v>386.24194805717133</v>
      </c>
      <c r="F91" s="288">
        <f t="shared" si="29"/>
        <v>17.386053144000002</v>
      </c>
      <c r="G91" s="285">
        <f t="shared" si="31"/>
        <v>11.984728394383922</v>
      </c>
      <c r="H91" s="286">
        <f t="shared" si="32"/>
        <v>17.36</v>
      </c>
      <c r="I91" s="287">
        <f t="shared" si="33"/>
        <v>16.587613506161624</v>
      </c>
      <c r="J91" s="287">
        <f t="shared" si="34"/>
        <v>6.1733361395369366</v>
      </c>
      <c r="K91" s="288">
        <f t="shared" si="35"/>
        <v>0.22059599999999999</v>
      </c>
      <c r="L91" s="285">
        <f t="shared" ref="L91:L154" si="37">12*15-12*12*EXP(-A91/12)*(EXP(15/12)-1)</f>
        <v>179.54362157405839</v>
      </c>
      <c r="M91" s="286">
        <f t="shared" ref="M91:M154" si="38">0.217*(15*A91-15*15/2)</f>
        <v>235.98750000000001</v>
      </c>
      <c r="N91" s="287">
        <f t="shared" ref="N91:N154" si="39">0.259*(172.9*15-172.9*172.9*EXP(-A91/172.9)*(EXP(15/172.9)-1))</f>
        <v>229.92748077787738</v>
      </c>
      <c r="O91" s="287">
        <f t="shared" ref="O91:O154" si="40">0.338*(18.51*15-18.51*18.51*EXP(-A91/18.51)*(EXP(15/18.51)-1))</f>
        <v>91.926200102471356</v>
      </c>
      <c r="P91" s="288">
        <f t="shared" ref="P91:P154" si="41">0.186*(1.186*15-1.186*1.186*EXP(-A91/1.186)*(EXP(15/1.186)-1))</f>
        <v>3.3089399999999998</v>
      </c>
    </row>
    <row r="92" spans="1:16" x14ac:dyDescent="0.3">
      <c r="A92" s="276">
        <f t="shared" si="36"/>
        <v>81</v>
      </c>
      <c r="B92" s="285">
        <f t="shared" si="30"/>
        <v>828.1686066653939</v>
      </c>
      <c r="C92" s="286">
        <f t="shared" si="26"/>
        <v>711.86849999999993</v>
      </c>
      <c r="D92" s="287">
        <f t="shared" si="27"/>
        <v>731.1586125269821</v>
      </c>
      <c r="E92" s="287">
        <f t="shared" si="28"/>
        <v>392.41748755610865</v>
      </c>
      <c r="F92" s="288">
        <f t="shared" si="29"/>
        <v>17.606649144000002</v>
      </c>
      <c r="G92" s="285">
        <f t="shared" si="31"/>
        <v>11.985949444550506</v>
      </c>
      <c r="H92" s="286">
        <f t="shared" si="32"/>
        <v>17.576999999999998</v>
      </c>
      <c r="I92" s="287">
        <f t="shared" si="33"/>
        <v>16.75020524854261</v>
      </c>
      <c r="J92" s="287">
        <f t="shared" si="34"/>
        <v>6.1777035355965122</v>
      </c>
      <c r="K92" s="288">
        <f t="shared" si="35"/>
        <v>0.22059599999999999</v>
      </c>
      <c r="L92" s="285">
        <f t="shared" si="37"/>
        <v>179.5801115782551</v>
      </c>
      <c r="M92" s="286">
        <f t="shared" si="38"/>
        <v>239.24250000000001</v>
      </c>
      <c r="N92" s="287">
        <f t="shared" si="39"/>
        <v>232.47527657517301</v>
      </c>
      <c r="O92" s="287">
        <f t="shared" si="40"/>
        <v>92.027149362802888</v>
      </c>
      <c r="P92" s="288">
        <f t="shared" si="41"/>
        <v>3.3089399999999998</v>
      </c>
    </row>
    <row r="93" spans="1:16" x14ac:dyDescent="0.3">
      <c r="A93" s="276">
        <f t="shared" si="36"/>
        <v>82</v>
      </c>
      <c r="B93" s="285">
        <f t="shared" si="30"/>
        <v>840.15512562076492</v>
      </c>
      <c r="C93" s="286">
        <f t="shared" si="26"/>
        <v>729.55399999999997</v>
      </c>
      <c r="D93" s="287">
        <f t="shared" si="27"/>
        <v>747.98972272674428</v>
      </c>
      <c r="E93" s="287">
        <f t="shared" si="28"/>
        <v>398.59727857326561</v>
      </c>
      <c r="F93" s="288">
        <f t="shared" si="29"/>
        <v>17.827245143999999</v>
      </c>
      <c r="G93" s="285">
        <f t="shared" si="31"/>
        <v>11.987072864936252</v>
      </c>
      <c r="H93" s="286">
        <f t="shared" si="32"/>
        <v>17.794</v>
      </c>
      <c r="I93" s="287">
        <f t="shared" si="33"/>
        <v>16.911859324888699</v>
      </c>
      <c r="J93" s="287">
        <f t="shared" si="34"/>
        <v>6.1818412440159074</v>
      </c>
      <c r="K93" s="288">
        <f t="shared" si="35"/>
        <v>0.22059599999999999</v>
      </c>
      <c r="L93" s="285">
        <f t="shared" si="37"/>
        <v>179.61368400280608</v>
      </c>
      <c r="M93" s="286">
        <f t="shared" si="38"/>
        <v>242.4975</v>
      </c>
      <c r="N93" s="287">
        <f t="shared" si="39"/>
        <v>235.0083792426208</v>
      </c>
      <c r="O93" s="287">
        <f t="shared" si="40"/>
        <v>92.122789556343335</v>
      </c>
      <c r="P93" s="288">
        <f t="shared" si="41"/>
        <v>3.3089399999999998</v>
      </c>
    </row>
    <row r="94" spans="1:16" x14ac:dyDescent="0.3">
      <c r="A94" s="276">
        <f t="shared" si="36"/>
        <v>83</v>
      </c>
      <c r="B94" s="285">
        <f t="shared" si="30"/>
        <v>852.14272246095072</v>
      </c>
      <c r="C94" s="286">
        <f t="shared" si="26"/>
        <v>747.45650000000001</v>
      </c>
      <c r="D94" s="287">
        <f t="shared" si="27"/>
        <v>764.98202042426783</v>
      </c>
      <c r="E94" s="287">
        <f t="shared" si="28"/>
        <v>404.78109751518446</v>
      </c>
      <c r="F94" s="288">
        <f t="shared" si="29"/>
        <v>18.047841144</v>
      </c>
      <c r="G94" s="285">
        <f t="shared" si="31"/>
        <v>11.98810646158744</v>
      </c>
      <c r="H94" s="286">
        <f t="shared" si="32"/>
        <v>18.010999999999999</v>
      </c>
      <c r="I94" s="287">
        <f t="shared" si="33"/>
        <v>17.072581142716786</v>
      </c>
      <c r="J94" s="287">
        <f t="shared" si="34"/>
        <v>6.1857613443984683</v>
      </c>
      <c r="K94" s="288">
        <f t="shared" si="35"/>
        <v>0.22059599999999999</v>
      </c>
      <c r="L94" s="285">
        <f t="shared" si="37"/>
        <v>179.64457212449977</v>
      </c>
      <c r="M94" s="286">
        <f t="shared" si="38"/>
        <v>245.7525</v>
      </c>
      <c r="N94" s="287">
        <f t="shared" si="39"/>
        <v>237.52687351545168</v>
      </c>
      <c r="O94" s="287">
        <f t="shared" si="40"/>
        <v>92.213399894550989</v>
      </c>
      <c r="P94" s="288">
        <f t="shared" si="41"/>
        <v>3.3089399999999998</v>
      </c>
    </row>
    <row r="95" spans="1:16" x14ac:dyDescent="0.3">
      <c r="A95" s="276">
        <f t="shared" si="36"/>
        <v>84</v>
      </c>
      <c r="B95" s="285">
        <f t="shared" si="30"/>
        <v>864.13131100303985</v>
      </c>
      <c r="C95" s="286">
        <f t="shared" si="26"/>
        <v>765.57600000000002</v>
      </c>
      <c r="D95" s="287">
        <f t="shared" si="27"/>
        <v>782.13457605179337</v>
      </c>
      <c r="E95" s="287">
        <f t="shared" si="28"/>
        <v>410.96873254750864</v>
      </c>
      <c r="F95" s="288">
        <f t="shared" si="29"/>
        <v>18.268437144</v>
      </c>
      <c r="G95" s="285">
        <f t="shared" si="31"/>
        <v>11.989057416413345</v>
      </c>
      <c r="H95" s="286">
        <f t="shared" si="32"/>
        <v>18.228000000000002</v>
      </c>
      <c r="I95" s="287">
        <f t="shared" si="33"/>
        <v>17.232376078358627</v>
      </c>
      <c r="J95" s="287">
        <f t="shared" si="34"/>
        <v>6.1894752810638263</v>
      </c>
      <c r="K95" s="288">
        <f t="shared" si="35"/>
        <v>0.22059599999999999</v>
      </c>
      <c r="L95" s="285">
        <f t="shared" si="37"/>
        <v>179.67299056834247</v>
      </c>
      <c r="M95" s="286">
        <f t="shared" si="38"/>
        <v>249.00749999999999</v>
      </c>
      <c r="N95" s="287">
        <f t="shared" si="39"/>
        <v>240.0308436402286</v>
      </c>
      <c r="O95" s="287">
        <f t="shared" si="40"/>
        <v>92.299244904752001</v>
      </c>
      <c r="P95" s="288">
        <f t="shared" si="41"/>
        <v>3.3089399999999998</v>
      </c>
    </row>
    <row r="96" spans="1:16" x14ac:dyDescent="0.3">
      <c r="A96" s="276">
        <f t="shared" si="36"/>
        <v>85</v>
      </c>
      <c r="B96" s="285">
        <f t="shared" si="30"/>
        <v>876.12081195492624</v>
      </c>
      <c r="C96" s="286">
        <f t="shared" si="26"/>
        <v>783.91250000000002</v>
      </c>
      <c r="D96" s="287">
        <f t="shared" si="27"/>
        <v>799.44646540237409</v>
      </c>
      <c r="E96" s="287">
        <f t="shared" si="28"/>
        <v>417.1599829765554</v>
      </c>
      <c r="F96" s="288">
        <f t="shared" si="29"/>
        <v>18.489033144</v>
      </c>
      <c r="G96" s="285">
        <f t="shared" si="31"/>
        <v>11.989932337089485</v>
      </c>
      <c r="H96" s="286">
        <f t="shared" si="32"/>
        <v>18.445</v>
      </c>
      <c r="I96" s="287">
        <f t="shared" si="33"/>
        <v>17.391249477140693</v>
      </c>
      <c r="J96" s="287">
        <f t="shared" si="34"/>
        <v>6.1929938964583844</v>
      </c>
      <c r="K96" s="288">
        <f t="shared" si="35"/>
        <v>0.22059599999999999</v>
      </c>
      <c r="L96" s="285">
        <f t="shared" si="37"/>
        <v>179.69913679887236</v>
      </c>
      <c r="M96" s="286">
        <f t="shared" si="38"/>
        <v>252.26249999999999</v>
      </c>
      <c r="N96" s="287">
        <f t="shared" si="39"/>
        <v>242.52037337766467</v>
      </c>
      <c r="O96" s="287">
        <f t="shared" si="40"/>
        <v>92.380575202399953</v>
      </c>
      <c r="P96" s="288">
        <f t="shared" si="41"/>
        <v>3.3089399999999998</v>
      </c>
    </row>
    <row r="97" spans="1:16" x14ac:dyDescent="0.3">
      <c r="A97" s="276">
        <f t="shared" si="36"/>
        <v>86</v>
      </c>
      <c r="B97" s="285">
        <f t="shared" si="30"/>
        <v>888.11115236435035</v>
      </c>
      <c r="C97" s="286">
        <f t="shared" si="26"/>
        <v>802.46600000000001</v>
      </c>
      <c r="D97" s="287">
        <f t="shared" si="27"/>
        <v>816.91676959896233</v>
      </c>
      <c r="E97" s="287">
        <f t="shared" si="28"/>
        <v>423.35465866341121</v>
      </c>
      <c r="F97" s="288">
        <f t="shared" si="29"/>
        <v>18.709629144000001</v>
      </c>
      <c r="G97" s="285">
        <f t="shared" si="31"/>
        <v>11.990737302970809</v>
      </c>
      <c r="H97" s="286">
        <f t="shared" si="32"/>
        <v>18.661999999999999</v>
      </c>
      <c r="I97" s="287">
        <f t="shared" si="33"/>
        <v>17.549206653562969</v>
      </c>
      <c r="J97" s="287">
        <f t="shared" si="34"/>
        <v>6.1963274628086937</v>
      </c>
      <c r="K97" s="288">
        <f t="shared" si="35"/>
        <v>0.22059599999999999</v>
      </c>
      <c r="L97" s="285">
        <f t="shared" si="37"/>
        <v>179.72319249223503</v>
      </c>
      <c r="M97" s="286">
        <f t="shared" si="38"/>
        <v>255.51749999999998</v>
      </c>
      <c r="N97" s="287">
        <f t="shared" si="39"/>
        <v>244.99554600542552</v>
      </c>
      <c r="O97" s="287">
        <f t="shared" si="40"/>
        <v>92.457628222721311</v>
      </c>
      <c r="P97" s="288">
        <f t="shared" si="41"/>
        <v>3.3089399999999998</v>
      </c>
    </row>
    <row r="98" spans="1:16" x14ac:dyDescent="0.3">
      <c r="A98" s="276">
        <f t="shared" si="36"/>
        <v>87</v>
      </c>
      <c r="B98" s="285">
        <f t="shared" si="30"/>
        <v>900.10226511199335</v>
      </c>
      <c r="C98" s="286">
        <f t="shared" si="26"/>
        <v>821.23650000000009</v>
      </c>
      <c r="D98" s="287">
        <f t="shared" si="27"/>
        <v>834.54457506366907</v>
      </c>
      <c r="E98" s="287">
        <f t="shared" si="28"/>
        <v>429.55257946884137</v>
      </c>
      <c r="F98" s="288">
        <f t="shared" si="29"/>
        <v>18.930225143999998</v>
      </c>
      <c r="G98" s="285">
        <f t="shared" si="31"/>
        <v>11.99147790733389</v>
      </c>
      <c r="H98" s="286">
        <f t="shared" si="32"/>
        <v>18.879000000000001</v>
      </c>
      <c r="I98" s="287">
        <f t="shared" si="33"/>
        <v>17.706252891476755</v>
      </c>
      <c r="J98" s="287">
        <f t="shared" si="34"/>
        <v>6.1994857121101399</v>
      </c>
      <c r="K98" s="288">
        <f t="shared" si="35"/>
        <v>0.22059599999999999</v>
      </c>
      <c r="L98" s="285">
        <f t="shared" si="37"/>
        <v>179.74532479855338</v>
      </c>
      <c r="M98" s="286">
        <f t="shared" si="38"/>
        <v>258.77249999999998</v>
      </c>
      <c r="N98" s="287">
        <f t="shared" si="39"/>
        <v>247.45644432091473</v>
      </c>
      <c r="O98" s="287">
        <f t="shared" si="40"/>
        <v>92.530628913882481</v>
      </c>
      <c r="P98" s="288">
        <f t="shared" si="41"/>
        <v>3.3089399999999998</v>
      </c>
    </row>
    <row r="99" spans="1:16" x14ac:dyDescent="0.3">
      <c r="A99" s="276">
        <f t="shared" si="36"/>
        <v>88</v>
      </c>
      <c r="B99" s="285">
        <f t="shared" si="30"/>
        <v>912.09408844510085</v>
      </c>
      <c r="C99" s="286">
        <f t="shared" si="26"/>
        <v>840.22400000000005</v>
      </c>
      <c r="D99" s="287">
        <f t="shared" si="27"/>
        <v>852.32897348720928</v>
      </c>
      <c r="E99" s="287">
        <f t="shared" si="28"/>
        <v>435.75357472739302</v>
      </c>
      <c r="F99" s="288">
        <f t="shared" si="29"/>
        <v>19.150821144000002</v>
      </c>
      <c r="G99" s="285">
        <f t="shared" si="31"/>
        <v>11.992159296241592</v>
      </c>
      <c r="H99" s="286">
        <f t="shared" si="32"/>
        <v>19.096</v>
      </c>
      <c r="I99" s="287">
        <f t="shared" si="33"/>
        <v>17.862393444261372</v>
      </c>
      <c r="J99" s="287">
        <f t="shared" si="34"/>
        <v>6.2024778645384702</v>
      </c>
      <c r="K99" s="288">
        <f t="shared" si="35"/>
        <v>0.22059599999999999</v>
      </c>
      <c r="L99" s="285">
        <f t="shared" si="37"/>
        <v>179.76568750336443</v>
      </c>
      <c r="M99" s="286">
        <f t="shared" si="38"/>
        <v>262.02749999999997</v>
      </c>
      <c r="N99" s="287">
        <f t="shared" si="39"/>
        <v>249.90315064404334</v>
      </c>
      <c r="O99" s="287">
        <f t="shared" si="40"/>
        <v>92.599790393702236</v>
      </c>
      <c r="P99" s="288">
        <f t="shared" si="41"/>
        <v>3.3089399999999998</v>
      </c>
    </row>
    <row r="100" spans="1:16" x14ac:dyDescent="0.3">
      <c r="A100" s="276">
        <f t="shared" si="36"/>
        <v>89</v>
      </c>
      <c r="B100" s="285">
        <f t="shared" si="30"/>
        <v>924.08656554839627</v>
      </c>
      <c r="C100" s="286">
        <f t="shared" si="26"/>
        <v>859.42849999999999</v>
      </c>
      <c r="D100" s="287">
        <f t="shared" si="27"/>
        <v>870.26906179851085</v>
      </c>
      <c r="E100" s="287">
        <f t="shared" si="28"/>
        <v>441.95748274915445</v>
      </c>
      <c r="F100" s="288">
        <f t="shared" si="29"/>
        <v>19.371417144000002</v>
      </c>
      <c r="G100" s="285">
        <f t="shared" si="31"/>
        <v>11.992786204300312</v>
      </c>
      <c r="H100" s="286">
        <f t="shared" si="32"/>
        <v>19.312999999999999</v>
      </c>
      <c r="I100" s="287">
        <f t="shared" si="33"/>
        <v>18.017633534999934</v>
      </c>
      <c r="J100" s="287">
        <f t="shared" si="34"/>
        <v>6.2053126553671323</v>
      </c>
      <c r="K100" s="288">
        <f t="shared" si="35"/>
        <v>0.22059599999999999</v>
      </c>
      <c r="L100" s="285">
        <f t="shared" si="37"/>
        <v>179.7844220961926</v>
      </c>
      <c r="M100" s="286">
        <f t="shared" si="38"/>
        <v>265.28249999999997</v>
      </c>
      <c r="N100" s="287">
        <f t="shared" si="39"/>
        <v>252.33574681998391</v>
      </c>
      <c r="O100" s="287">
        <f t="shared" si="40"/>
        <v>92.665314571826798</v>
      </c>
      <c r="P100" s="288">
        <f t="shared" si="41"/>
        <v>3.3089399999999998</v>
      </c>
    </row>
    <row r="101" spans="1:16" x14ac:dyDescent="0.3">
      <c r="A101" s="276">
        <f t="shared" si="36"/>
        <v>90</v>
      </c>
      <c r="B101" s="285">
        <f t="shared" si="30"/>
        <v>936.07964414930132</v>
      </c>
      <c r="C101" s="286">
        <f t="shared" si="26"/>
        <v>878.85</v>
      </c>
      <c r="D101" s="287">
        <f t="shared" si="27"/>
        <v>888.36394213451308</v>
      </c>
      <c r="E101" s="287">
        <f t="shared" si="28"/>
        <v>448.16415034771927</v>
      </c>
      <c r="F101" s="288">
        <f t="shared" si="29"/>
        <v>19.592013143999999</v>
      </c>
      <c r="G101" s="285">
        <f t="shared" si="31"/>
        <v>11.993362987558227</v>
      </c>
      <c r="H101" s="286">
        <f t="shared" si="32"/>
        <v>19.53</v>
      </c>
      <c r="I101" s="287">
        <f t="shared" si="33"/>
        <v>18.171978356654058</v>
      </c>
      <c r="J101" s="287">
        <f t="shared" si="34"/>
        <v>6.2079983604689772</v>
      </c>
      <c r="K101" s="288">
        <f t="shared" si="35"/>
        <v>0.22059599999999999</v>
      </c>
      <c r="L101" s="285">
        <f t="shared" si="37"/>
        <v>179.80165875368451</v>
      </c>
      <c r="M101" s="286">
        <f t="shared" si="38"/>
        <v>268.53750000000002</v>
      </c>
      <c r="N101" s="287">
        <f t="shared" si="39"/>
        <v>254.75431422190815</v>
      </c>
      <c r="O101" s="287">
        <f t="shared" si="40"/>
        <v>92.727392739183642</v>
      </c>
      <c r="P101" s="288">
        <f t="shared" si="41"/>
        <v>3.3089399999999998</v>
      </c>
    </row>
    <row r="102" spans="1:16" x14ac:dyDescent="0.3">
      <c r="A102" s="276">
        <f t="shared" si="36"/>
        <v>91</v>
      </c>
      <c r="B102" s="285">
        <f t="shared" si="30"/>
        <v>948.07327615472252</v>
      </c>
      <c r="C102" s="286">
        <f t="shared" si="26"/>
        <v>898.48850000000004</v>
      </c>
      <c r="D102" s="287">
        <f t="shared" si="27"/>
        <v>906.61272181012646</v>
      </c>
      <c r="E102" s="287">
        <f t="shared" si="28"/>
        <v>454.37343239297445</v>
      </c>
      <c r="F102" s="288">
        <f t="shared" si="29"/>
        <v>19.812609144</v>
      </c>
      <c r="G102" s="285">
        <f t="shared" si="31"/>
        <v>11.993893653773121</v>
      </c>
      <c r="H102" s="286">
        <f t="shared" si="32"/>
        <v>19.747</v>
      </c>
      <c r="I102" s="287">
        <f t="shared" si="33"/>
        <v>18.325433072237555</v>
      </c>
      <c r="J102" s="287">
        <f t="shared" si="34"/>
        <v>6.2105428204768014</v>
      </c>
      <c r="K102" s="288">
        <f t="shared" si="35"/>
        <v>0.22059599999999999</v>
      </c>
      <c r="L102" s="285">
        <f t="shared" si="37"/>
        <v>179.81751724413681</v>
      </c>
      <c r="M102" s="286">
        <f t="shared" si="38"/>
        <v>271.79250000000002</v>
      </c>
      <c r="N102" s="287">
        <f t="shared" si="39"/>
        <v>257.15893375370888</v>
      </c>
      <c r="O102" s="287">
        <f t="shared" si="40"/>
        <v>92.78620612643526</v>
      </c>
      <c r="P102" s="288">
        <f t="shared" si="41"/>
        <v>3.3089399999999998</v>
      </c>
    </row>
    <row r="103" spans="1:16" x14ac:dyDescent="0.3">
      <c r="A103" s="276">
        <f t="shared" si="36"/>
        <v>92</v>
      </c>
      <c r="B103" s="285">
        <f t="shared" si="30"/>
        <v>960.06741731687794</v>
      </c>
      <c r="C103" s="286">
        <f t="shared" si="26"/>
        <v>918.34399999999994</v>
      </c>
      <c r="D103" s="287">
        <f t="shared" si="27"/>
        <v>925.01451328837391</v>
      </c>
      <c r="E103" s="287">
        <f t="shared" si="28"/>
        <v>460.58519138740832</v>
      </c>
      <c r="F103" s="288">
        <f t="shared" si="29"/>
        <v>20.033205144</v>
      </c>
      <c r="G103" s="285">
        <f t="shared" si="31"/>
        <v>11.994381890260167</v>
      </c>
      <c r="H103" s="286">
        <f t="shared" si="32"/>
        <v>19.963999999999999</v>
      </c>
      <c r="I103" s="287">
        <f t="shared" si="33"/>
        <v>18.478002814989161</v>
      </c>
      <c r="J103" s="287">
        <f t="shared" si="34"/>
        <v>6.2129534636732453</v>
      </c>
      <c r="K103" s="288">
        <f t="shared" si="35"/>
        <v>0.22059599999999999</v>
      </c>
      <c r="L103" s="285">
        <f t="shared" si="37"/>
        <v>179.8321077597019</v>
      </c>
      <c r="M103" s="286">
        <f t="shared" si="38"/>
        <v>275.04750000000001</v>
      </c>
      <c r="N103" s="287">
        <f t="shared" si="39"/>
        <v>259.54968585270643</v>
      </c>
      <c r="O103" s="287">
        <f t="shared" si="40"/>
        <v>92.841926433062966</v>
      </c>
      <c r="P103" s="288">
        <f t="shared" si="41"/>
        <v>3.3089399999999998</v>
      </c>
    </row>
    <row r="104" spans="1:16" x14ac:dyDescent="0.3">
      <c r="A104" s="276">
        <f t="shared" si="36"/>
        <v>93</v>
      </c>
      <c r="B104" s="285">
        <f t="shared" si="30"/>
        <v>972.06202692584293</v>
      </c>
      <c r="C104" s="286">
        <f t="shared" si="26"/>
        <v>938.41650000000004</v>
      </c>
      <c r="D104" s="287">
        <f t="shared" si="27"/>
        <v>943.56843415069955</v>
      </c>
      <c r="E104" s="287">
        <f t="shared" si="28"/>
        <v>466.79929706470102</v>
      </c>
      <c r="F104" s="288">
        <f t="shared" si="29"/>
        <v>20.253801144000001</v>
      </c>
      <c r="G104" s="285">
        <f t="shared" si="31"/>
        <v>11.994831089513092</v>
      </c>
      <c r="H104" s="286">
        <f t="shared" si="32"/>
        <v>20.181000000000001</v>
      </c>
      <c r="I104" s="287">
        <f t="shared" si="33"/>
        <v>18.629692688544246</v>
      </c>
      <c r="J104" s="287">
        <f t="shared" si="34"/>
        <v>6.2152373276768795</v>
      </c>
      <c r="K104" s="288">
        <f t="shared" si="35"/>
        <v>0.22059599999999999</v>
      </c>
      <c r="L104" s="285">
        <f t="shared" si="37"/>
        <v>179.84553168205412</v>
      </c>
      <c r="M104" s="286">
        <f t="shared" si="38"/>
        <v>278.30250000000001</v>
      </c>
      <c r="N104" s="287">
        <f t="shared" si="39"/>
        <v>261.9266504923396</v>
      </c>
      <c r="O104" s="287">
        <f t="shared" si="40"/>
        <v>92.894716328625407</v>
      </c>
      <c r="P104" s="288">
        <f t="shared" si="41"/>
        <v>3.3089399999999998</v>
      </c>
    </row>
    <row r="105" spans="1:16" x14ac:dyDescent="0.3">
      <c r="A105" s="276">
        <f t="shared" si="36"/>
        <v>94</v>
      </c>
      <c r="B105" s="285">
        <f t="shared" si="30"/>
        <v>984.05706752667834</v>
      </c>
      <c r="C105" s="286">
        <f t="shared" si="26"/>
        <v>958.70600000000002</v>
      </c>
      <c r="D105" s="287">
        <f t="shared" si="27"/>
        <v>962.27360706745617</v>
      </c>
      <c r="E105" s="287">
        <f t="shared" si="28"/>
        <v>473.01562600942594</v>
      </c>
      <c r="F105" s="288">
        <f t="shared" si="29"/>
        <v>20.474397144000001</v>
      </c>
      <c r="G105" s="285">
        <f t="shared" si="31"/>
        <v>11.995244372776801</v>
      </c>
      <c r="H105" s="286">
        <f t="shared" si="32"/>
        <v>20.398</v>
      </c>
      <c r="I105" s="287">
        <f t="shared" si="33"/>
        <v>18.780507767105515</v>
      </c>
      <c r="J105" s="287">
        <f t="shared" si="34"/>
        <v>6.2174010799877966</v>
      </c>
      <c r="K105" s="288">
        <f t="shared" si="35"/>
        <v>0.22059599999999999</v>
      </c>
      <c r="L105" s="285">
        <f t="shared" si="37"/>
        <v>179.85788228683671</v>
      </c>
      <c r="M105" s="286">
        <f t="shared" si="38"/>
        <v>281.5575</v>
      </c>
      <c r="N105" s="287">
        <f t="shared" si="39"/>
        <v>264.28990718484027</v>
      </c>
      <c r="O105" s="287">
        <f t="shared" si="40"/>
        <v>92.94472992765516</v>
      </c>
      <c r="P105" s="288">
        <f t="shared" si="41"/>
        <v>3.3089399999999998</v>
      </c>
    </row>
    <row r="106" spans="1:16" x14ac:dyDescent="0.3">
      <c r="A106" s="276">
        <f t="shared" si="36"/>
        <v>95</v>
      </c>
      <c r="B106" s="285">
        <f t="shared" si="30"/>
        <v>996.0525046591772</v>
      </c>
      <c r="C106" s="286">
        <f t="shared" si="26"/>
        <v>979.21249999999998</v>
      </c>
      <c r="D106" s="287">
        <f t="shared" si="27"/>
        <v>981.12915976854936</v>
      </c>
      <c r="E106" s="287">
        <f t="shared" si="28"/>
        <v>479.23406129675118</v>
      </c>
      <c r="F106" s="288">
        <f t="shared" si="29"/>
        <v>20.694993143999998</v>
      </c>
      <c r="G106" s="285">
        <f t="shared" si="31"/>
        <v>11.995624611735238</v>
      </c>
      <c r="H106" s="286">
        <f t="shared" si="32"/>
        <v>20.614999999999998</v>
      </c>
      <c r="I106" s="287">
        <f t="shared" si="33"/>
        <v>18.930453095612783</v>
      </c>
      <c r="J106" s="287">
        <f t="shared" si="34"/>
        <v>6.2194510374526653</v>
      </c>
      <c r="K106" s="288">
        <f t="shared" si="35"/>
        <v>0.22059599999999999</v>
      </c>
      <c r="L106" s="285">
        <f t="shared" si="37"/>
        <v>179.86924539178423</v>
      </c>
      <c r="M106" s="286">
        <f t="shared" si="38"/>
        <v>284.8125</v>
      </c>
      <c r="N106" s="287">
        <f t="shared" si="39"/>
        <v>266.63953498389395</v>
      </c>
      <c r="O106" s="287">
        <f t="shared" si="40"/>
        <v>92.992113239579865</v>
      </c>
      <c r="P106" s="288">
        <f t="shared" si="41"/>
        <v>3.3089399999999998</v>
      </c>
    </row>
    <row r="107" spans="1:16" x14ac:dyDescent="0.3">
      <c r="A107" s="276">
        <f t="shared" si="36"/>
        <v>96</v>
      </c>
      <c r="B107" s="285">
        <f t="shared" si="30"/>
        <v>1008.048306618418</v>
      </c>
      <c r="C107" s="286">
        <f t="shared" si="26"/>
        <v>999.93600000000004</v>
      </c>
      <c r="D107" s="287">
        <f t="shared" si="27"/>
        <v>1000.1342250142673</v>
      </c>
      <c r="E107" s="287">
        <f t="shared" si="28"/>
        <v>485.45449215109005</v>
      </c>
      <c r="F107" s="288">
        <f t="shared" si="29"/>
        <v>20.915589143999998</v>
      </c>
      <c r="G107" s="285">
        <f t="shared" si="31"/>
        <v>11.995974448465169</v>
      </c>
      <c r="H107" s="286">
        <f t="shared" si="32"/>
        <v>20.832000000000001</v>
      </c>
      <c r="I107" s="287">
        <f t="shared" si="33"/>
        <v>19.079533689911699</v>
      </c>
      <c r="J107" s="287">
        <f t="shared" si="34"/>
        <v>6.2213931847061064</v>
      </c>
      <c r="K107" s="288">
        <f t="shared" si="35"/>
        <v>0.22059599999999999</v>
      </c>
      <c r="L107" s="285">
        <f t="shared" si="37"/>
        <v>179.87969995302404</v>
      </c>
      <c r="M107" s="286">
        <f t="shared" si="38"/>
        <v>288.0675</v>
      </c>
      <c r="N107" s="287">
        <f t="shared" si="39"/>
        <v>268.97561248728323</v>
      </c>
      <c r="O107" s="287">
        <f t="shared" si="40"/>
        <v>93.03700459498144</v>
      </c>
      <c r="P107" s="288">
        <f t="shared" si="41"/>
        <v>3.3089399999999998</v>
      </c>
    </row>
    <row r="108" spans="1:16" x14ac:dyDescent="0.3">
      <c r="A108" s="276">
        <f t="shared" si="36"/>
        <v>97</v>
      </c>
      <c r="B108" s="285">
        <f t="shared" si="30"/>
        <v>1020.0444442344651</v>
      </c>
      <c r="C108" s="286">
        <f t="shared" si="26"/>
        <v>1020.8765</v>
      </c>
      <c r="D108" s="287">
        <f t="shared" si="27"/>
        <v>1019.2879405662623</v>
      </c>
      <c r="E108" s="287">
        <f t="shared" si="28"/>
        <v>491.67681362270309</v>
      </c>
      <c r="F108" s="288">
        <f t="shared" si="29"/>
        <v>21.136185144000002</v>
      </c>
      <c r="G108" s="285">
        <f t="shared" si="31"/>
        <v>11.996296313794577</v>
      </c>
      <c r="H108" s="286">
        <f t="shared" si="32"/>
        <v>21.048999999999999</v>
      </c>
      <c r="I108" s="287">
        <f t="shared" si="33"/>
        <v>19.227754536921559</v>
      </c>
      <c r="J108" s="287">
        <f t="shared" si="34"/>
        <v>6.223233191642195</v>
      </c>
      <c r="K108" s="288">
        <f t="shared" si="35"/>
        <v>0.22059599999999999</v>
      </c>
      <c r="L108" s="285">
        <f t="shared" si="37"/>
        <v>179.88931861370011</v>
      </c>
      <c r="M108" s="286">
        <f t="shared" si="38"/>
        <v>291.32249999999999</v>
      </c>
      <c r="N108" s="287">
        <f t="shared" si="39"/>
        <v>271.29821783951843</v>
      </c>
      <c r="O108" s="287">
        <f t="shared" si="40"/>
        <v>93.079535049437425</v>
      </c>
      <c r="P108" s="288">
        <f t="shared" si="41"/>
        <v>3.3089399999999998</v>
      </c>
    </row>
    <row r="109" spans="1:16" x14ac:dyDescent="0.3">
      <c r="A109" s="276">
        <f t="shared" si="36"/>
        <v>98</v>
      </c>
      <c r="B109" s="285">
        <f t="shared" si="30"/>
        <v>1032.0408906696821</v>
      </c>
      <c r="C109" s="286">
        <f t="shared" si="26"/>
        <v>1042.0339999999999</v>
      </c>
      <c r="D109" s="287">
        <f t="shared" si="27"/>
        <v>1038.589449158718</v>
      </c>
      <c r="E109" s="287">
        <f t="shared" si="28"/>
        <v>497.90092628130861</v>
      </c>
      <c r="F109" s="288">
        <f t="shared" si="29"/>
        <v>21.356781143999999</v>
      </c>
      <c r="G109" s="285">
        <f t="shared" si="31"/>
        <v>11.996592444193162</v>
      </c>
      <c r="H109" s="286">
        <f t="shared" si="32"/>
        <v>21.265999999999998</v>
      </c>
      <c r="I109" s="287">
        <f t="shared" si="33"/>
        <v>19.375120594802095</v>
      </c>
      <c r="J109" s="287">
        <f t="shared" si="34"/>
        <v>6.2249764299671257</v>
      </c>
      <c r="K109" s="288">
        <f t="shared" si="35"/>
        <v>0.22059599999999999</v>
      </c>
      <c r="L109" s="285">
        <f t="shared" si="37"/>
        <v>179.89816820873136</v>
      </c>
      <c r="M109" s="286">
        <f t="shared" si="38"/>
        <v>294.57749999999999</v>
      </c>
      <c r="N109" s="287">
        <f t="shared" si="39"/>
        <v>273.6074287344498</v>
      </c>
      <c r="O109" s="287">
        <f t="shared" si="40"/>
        <v>93.119828766124158</v>
      </c>
      <c r="P109" s="288">
        <f t="shared" si="41"/>
        <v>3.3089399999999998</v>
      </c>
    </row>
    <row r="110" spans="1:16" x14ac:dyDescent="0.3">
      <c r="A110" s="276">
        <f t="shared" si="36"/>
        <v>99</v>
      </c>
      <c r="B110" s="285">
        <f t="shared" si="30"/>
        <v>1044.0376212322515</v>
      </c>
      <c r="C110" s="286">
        <f t="shared" si="26"/>
        <v>1063.4085</v>
      </c>
      <c r="D110" s="287">
        <f t="shared" si="27"/>
        <v>1058.037898469662</v>
      </c>
      <c r="E110" s="287">
        <f t="shared" si="28"/>
        <v>504.12673592580654</v>
      </c>
      <c r="F110" s="288">
        <f t="shared" si="29"/>
        <v>21.577377144</v>
      </c>
      <c r="G110" s="285">
        <f t="shared" si="31"/>
        <v>11.996864897312381</v>
      </c>
      <c r="H110" s="286">
        <f t="shared" si="32"/>
        <v>21.483000000000001</v>
      </c>
      <c r="I110" s="287">
        <f t="shared" si="33"/>
        <v>19.521636793119367</v>
      </c>
      <c r="J110" s="287">
        <f t="shared" si="34"/>
        <v>6.2266279888813356</v>
      </c>
      <c r="K110" s="288">
        <f t="shared" si="35"/>
        <v>0.22059599999999999</v>
      </c>
      <c r="L110" s="285">
        <f t="shared" si="37"/>
        <v>179.90631022921158</v>
      </c>
      <c r="M110" s="286">
        <f t="shared" si="38"/>
        <v>297.83249999999998</v>
      </c>
      <c r="N110" s="287">
        <f t="shared" si="39"/>
        <v>275.90332241786803</v>
      </c>
      <c r="O110" s="287">
        <f t="shared" si="40"/>
        <v>93.15800337829792</v>
      </c>
      <c r="P110" s="288">
        <f t="shared" si="41"/>
        <v>3.3089399999999998</v>
      </c>
    </row>
    <row r="111" spans="1:16" x14ac:dyDescent="0.3">
      <c r="A111" s="276">
        <f t="shared" si="36"/>
        <v>100</v>
      </c>
      <c r="B111" s="285">
        <f t="shared" si="30"/>
        <v>1056.0346132046043</v>
      </c>
      <c r="C111" s="286">
        <f t="shared" si="26"/>
        <v>1085</v>
      </c>
      <c r="D111" s="287">
        <f t="shared" si="27"/>
        <v>1077.6324410924617</v>
      </c>
      <c r="E111" s="287">
        <f t="shared" si="28"/>
        <v>510.35415330926821</v>
      </c>
      <c r="F111" s="288">
        <f t="shared" si="29"/>
        <v>21.797973144</v>
      </c>
      <c r="G111" s="285">
        <f t="shared" si="31"/>
        <v>11.997115566282966</v>
      </c>
      <c r="H111" s="286">
        <f t="shared" si="32"/>
        <v>21.7</v>
      </c>
      <c r="I111" s="287">
        <f t="shared" si="33"/>
        <v>19.667308033010631</v>
      </c>
      <c r="J111" s="287">
        <f t="shared" si="34"/>
        <v>6.2281926899368925</v>
      </c>
      <c r="K111" s="288">
        <f t="shared" si="35"/>
        <v>0.22059599999999999</v>
      </c>
      <c r="L111" s="285">
        <f t="shared" si="37"/>
        <v>179.91380124967822</v>
      </c>
      <c r="M111" s="286">
        <f t="shared" si="38"/>
        <v>301.08749999999998</v>
      </c>
      <c r="N111" s="287">
        <f t="shared" si="39"/>
        <v>278.18597569008739</v>
      </c>
      <c r="O111" s="287">
        <f t="shared" si="40"/>
        <v>93.194170332712815</v>
      </c>
      <c r="P111" s="288">
        <f t="shared" si="41"/>
        <v>3.3089399999999998</v>
      </c>
    </row>
    <row r="112" spans="1:16" x14ac:dyDescent="0.3">
      <c r="A112" s="276">
        <f t="shared" si="36"/>
        <v>101</v>
      </c>
      <c r="B112" s="285">
        <f t="shared" si="30"/>
        <v>1068.0318456855687</v>
      </c>
      <c r="C112" s="286">
        <f t="shared" si="26"/>
        <v>1106.8085000000001</v>
      </c>
      <c r="D112" s="287">
        <f t="shared" si="27"/>
        <v>1097.3722345074775</v>
      </c>
      <c r="E112" s="287">
        <f t="shared" si="28"/>
        <v>516.58309387838915</v>
      </c>
      <c r="F112" s="288">
        <f t="shared" si="29"/>
        <v>22.018569144000001</v>
      </c>
      <c r="G112" s="285">
        <f t="shared" si="31"/>
        <v>11.997346192869275</v>
      </c>
      <c r="H112" s="286">
        <f t="shared" si="32"/>
        <v>21.917000000000002</v>
      </c>
      <c r="I112" s="287">
        <f t="shared" si="33"/>
        <v>19.812139187348308</v>
      </c>
      <c r="J112" s="287">
        <f t="shared" si="34"/>
        <v>6.2296751011135072</v>
      </c>
      <c r="K112" s="288">
        <f t="shared" si="35"/>
        <v>0.22059599999999999</v>
      </c>
      <c r="L112" s="285">
        <f t="shared" si="37"/>
        <v>179.92069332121841</v>
      </c>
      <c r="M112" s="286">
        <f t="shared" si="38"/>
        <v>304.34249999999997</v>
      </c>
      <c r="N112" s="287">
        <f t="shared" si="39"/>
        <v>280.45546490851495</v>
      </c>
      <c r="O112" s="287">
        <f t="shared" si="40"/>
        <v>93.228435214977921</v>
      </c>
      <c r="P112" s="288">
        <f t="shared" si="41"/>
        <v>3.3089399999999998</v>
      </c>
    </row>
    <row r="113" spans="1:16" x14ac:dyDescent="0.3">
      <c r="A113" s="276">
        <f t="shared" si="36"/>
        <v>102</v>
      </c>
      <c r="B113" s="285">
        <f t="shared" si="30"/>
        <v>1080.0292994451374</v>
      </c>
      <c r="C113" s="286">
        <f t="shared" si="26"/>
        <v>1128.8340000000001</v>
      </c>
      <c r="D113" s="287">
        <f t="shared" si="27"/>
        <v>1117.2564410538744</v>
      </c>
      <c r="E113" s="287">
        <f t="shared" si="28"/>
        <v>522.81347752664465</v>
      </c>
      <c r="F113" s="288">
        <f t="shared" si="29"/>
        <v>22.239165144000001</v>
      </c>
      <c r="G113" s="285">
        <f t="shared" si="31"/>
        <v>11.997558379571872</v>
      </c>
      <c r="H113" s="286">
        <f t="shared" si="32"/>
        <v>22.134</v>
      </c>
      <c r="I113" s="287">
        <f t="shared" si="33"/>
        <v>19.95613510090298</v>
      </c>
      <c r="J113" s="287">
        <f t="shared" si="34"/>
        <v>6.2310795501542655</v>
      </c>
      <c r="K113" s="288">
        <f t="shared" si="35"/>
        <v>0.22059599999999999</v>
      </c>
      <c r="L113" s="285">
        <f t="shared" si="37"/>
        <v>179.92703433314421</v>
      </c>
      <c r="M113" s="286">
        <f t="shared" si="38"/>
        <v>307.59750000000003</v>
      </c>
      <c r="N113" s="287">
        <f t="shared" si="39"/>
        <v>282.71186599020507</v>
      </c>
      <c r="O113" s="287">
        <f t="shared" si="40"/>
        <v>93.260898057803232</v>
      </c>
      <c r="P113" s="288">
        <f t="shared" si="41"/>
        <v>3.3089399999999998</v>
      </c>
    </row>
    <row r="114" spans="1:16" x14ac:dyDescent="0.3">
      <c r="A114" s="276">
        <f t="shared" si="36"/>
        <v>103</v>
      </c>
      <c r="B114" s="285">
        <f t="shared" si="30"/>
        <v>1092.0269567908506</v>
      </c>
      <c r="C114" s="286">
        <f t="shared" si="26"/>
        <v>1151.0764999999999</v>
      </c>
      <c r="D114" s="287">
        <f t="shared" si="27"/>
        <v>1137.2842279016077</v>
      </c>
      <c r="E114" s="287">
        <f t="shared" si="28"/>
        <v>529.0452283604277</v>
      </c>
      <c r="F114" s="288">
        <f t="shared" si="29"/>
        <v>22.459761143999998</v>
      </c>
      <c r="G114" s="285">
        <f t="shared" si="31"/>
        <v>11.997753600762456</v>
      </c>
      <c r="H114" s="286">
        <f t="shared" si="32"/>
        <v>22.350999999999999</v>
      </c>
      <c r="I114" s="287">
        <f t="shared" si="33"/>
        <v>20.09930059050545</v>
      </c>
      <c r="J114" s="287">
        <f t="shared" si="34"/>
        <v>6.2324101372000218</v>
      </c>
      <c r="K114" s="288">
        <f t="shared" si="35"/>
        <v>0.22059599999999999</v>
      </c>
      <c r="L114" s="285">
        <f t="shared" si="37"/>
        <v>179.93286834574963</v>
      </c>
      <c r="M114" s="286">
        <f t="shared" si="38"/>
        <v>310.85250000000002</v>
      </c>
      <c r="N114" s="287">
        <f t="shared" si="39"/>
        <v>284.95525441439844</v>
      </c>
      <c r="O114" s="287">
        <f t="shared" si="40"/>
        <v>93.291653633034699</v>
      </c>
      <c r="P114" s="288">
        <f t="shared" si="41"/>
        <v>3.3089399999999998</v>
      </c>
    </row>
    <row r="115" spans="1:16" x14ac:dyDescent="0.3">
      <c r="A115" s="276">
        <f t="shared" si="36"/>
        <v>104</v>
      </c>
      <c r="B115" s="285">
        <f t="shared" si="30"/>
        <v>1104.0248014448584</v>
      </c>
      <c r="C115" s="286">
        <f t="shared" si="26"/>
        <v>1173.5360000000001</v>
      </c>
      <c r="D115" s="287">
        <f t="shared" si="27"/>
        <v>1157.4547670235597</v>
      </c>
      <c r="E115" s="287">
        <f t="shared" si="28"/>
        <v>535.27827447748507</v>
      </c>
      <c r="F115" s="288">
        <f t="shared" si="29"/>
        <v>22.680357143999998</v>
      </c>
      <c r="G115" s="285">
        <f t="shared" si="31"/>
        <v>11.997933212928469</v>
      </c>
      <c r="H115" s="286">
        <f t="shared" si="32"/>
        <v>22.568000000000001</v>
      </c>
      <c r="I115" s="287">
        <f t="shared" si="33"/>
        <v>20.241640445207867</v>
      </c>
      <c r="J115" s="287">
        <f t="shared" si="34"/>
        <v>6.2336707467593246</v>
      </c>
      <c r="K115" s="288">
        <f t="shared" si="35"/>
        <v>0.22059599999999999</v>
      </c>
      <c r="L115" s="285">
        <f t="shared" si="37"/>
        <v>179.93823589646212</v>
      </c>
      <c r="M115" s="286">
        <f t="shared" si="38"/>
        <v>314.10750000000002</v>
      </c>
      <c r="N115" s="287">
        <f t="shared" si="39"/>
        <v>287.18570522504746</v>
      </c>
      <c r="O115" s="287">
        <f t="shared" si="40"/>
        <v>93.320791728330519</v>
      </c>
      <c r="P115" s="288">
        <f t="shared" si="41"/>
        <v>3.3089399999999998</v>
      </c>
    </row>
    <row r="116" spans="1:16" x14ac:dyDescent="0.3">
      <c r="A116" s="276">
        <f t="shared" si="36"/>
        <v>105</v>
      </c>
      <c r="B116" s="285">
        <f t="shared" si="30"/>
        <v>1116.0228184308166</v>
      </c>
      <c r="C116" s="286">
        <f t="shared" si="26"/>
        <v>1196.2125000000001</v>
      </c>
      <c r="D116" s="287">
        <f t="shared" si="27"/>
        <v>1177.76723516784</v>
      </c>
      <c r="E116" s="287">
        <f t="shared" si="28"/>
        <v>541.51254775700625</v>
      </c>
      <c r="F116" s="288">
        <f t="shared" si="29"/>
        <v>22.900953144000002</v>
      </c>
      <c r="G116" s="285">
        <f t="shared" si="31"/>
        <v>11.998098464098611</v>
      </c>
      <c r="H116" s="286">
        <f t="shared" si="32"/>
        <v>22.785</v>
      </c>
      <c r="I116" s="287">
        <f t="shared" si="33"/>
        <v>20.383159426443953</v>
      </c>
      <c r="J116" s="287">
        <f t="shared" si="34"/>
        <v>6.2348650590488335</v>
      </c>
      <c r="K116" s="288">
        <f t="shared" si="35"/>
        <v>0.22059599999999999</v>
      </c>
      <c r="L116" s="285">
        <f t="shared" si="37"/>
        <v>179.94317428151538</v>
      </c>
      <c r="M116" s="286">
        <f t="shared" si="38"/>
        <v>317.36250000000001</v>
      </c>
      <c r="N116" s="287">
        <f t="shared" si="39"/>
        <v>289.40329303332607</v>
      </c>
      <c r="O116" s="287">
        <f t="shared" si="40"/>
        <v>93.348397409286889</v>
      </c>
      <c r="P116" s="288">
        <f t="shared" si="41"/>
        <v>3.3089399999999998</v>
      </c>
    </row>
    <row r="117" spans="1:16" x14ac:dyDescent="0.3">
      <c r="A117" s="276">
        <f t="shared" si="36"/>
        <v>106</v>
      </c>
      <c r="B117" s="285">
        <f t="shared" si="30"/>
        <v>1128.0209939698234</v>
      </c>
      <c r="C117" s="286">
        <f t="shared" si="26"/>
        <v>1219.106</v>
      </c>
      <c r="D117" s="287">
        <f t="shared" si="27"/>
        <v>1198.2208138302528</v>
      </c>
      <c r="E117" s="287">
        <f t="shared" si="28"/>
        <v>547.74798366075242</v>
      </c>
      <c r="F117" s="288">
        <f t="shared" si="29"/>
        <v>23.121549143999999</v>
      </c>
      <c r="G117" s="285">
        <f t="shared" si="31"/>
        <v>11.998250502514711</v>
      </c>
      <c r="H117" s="286">
        <f t="shared" si="32"/>
        <v>23.001999999999999</v>
      </c>
      <c r="I117" s="287">
        <f t="shared" si="33"/>
        <v>20.523862268188243</v>
      </c>
      <c r="J117" s="287">
        <f t="shared" si="34"/>
        <v>6.2359965607373162</v>
      </c>
      <c r="K117" s="288">
        <f t="shared" si="35"/>
        <v>0.22059599999999999</v>
      </c>
      <c r="L117" s="285">
        <f t="shared" si="37"/>
        <v>179.94771781510093</v>
      </c>
      <c r="M117" s="286">
        <f t="shared" si="38"/>
        <v>320.61750000000001</v>
      </c>
      <c r="N117" s="287">
        <f t="shared" si="39"/>
        <v>291.60809202012604</v>
      </c>
      <c r="O117" s="287">
        <f t="shared" si="40"/>
        <v>93.374551267777889</v>
      </c>
      <c r="P117" s="288">
        <f t="shared" si="41"/>
        <v>3.3089399999999998</v>
      </c>
    </row>
    <row r="118" spans="1:16" x14ac:dyDescent="0.3">
      <c r="A118" s="276">
        <f t="shared" si="36"/>
        <v>107</v>
      </c>
      <c r="B118" s="285">
        <f t="shared" si="30"/>
        <v>1140.0193153846769</v>
      </c>
      <c r="C118" s="286">
        <f t="shared" si="26"/>
        <v>1242.2165</v>
      </c>
      <c r="D118" s="287">
        <f t="shared" si="27"/>
        <v>1218.8146892269117</v>
      </c>
      <c r="E118" s="287">
        <f t="shared" si="28"/>
        <v>553.98452104464332</v>
      </c>
      <c r="F118" s="288">
        <f t="shared" si="29"/>
        <v>23.342145144</v>
      </c>
      <c r="G118" s="285">
        <f t="shared" si="31"/>
        <v>11.99839038461025</v>
      </c>
      <c r="H118" s="286">
        <f t="shared" si="32"/>
        <v>23.219000000000001</v>
      </c>
      <c r="I118" s="287">
        <f t="shared" si="33"/>
        <v>20.66375367711445</v>
      </c>
      <c r="J118" s="287">
        <f t="shared" si="34"/>
        <v>6.2370685551246199</v>
      </c>
      <c r="K118" s="288">
        <f t="shared" si="35"/>
        <v>0.22059599999999999</v>
      </c>
      <c r="L118" s="285">
        <f t="shared" si="37"/>
        <v>179.95189806779899</v>
      </c>
      <c r="M118" s="286">
        <f t="shared" si="38"/>
        <v>323.8725</v>
      </c>
      <c r="N118" s="287">
        <f t="shared" si="39"/>
        <v>293.80017593853808</v>
      </c>
      <c r="O118" s="287">
        <f t="shared" si="40"/>
        <v>93.399329657235072</v>
      </c>
      <c r="P118" s="288">
        <f t="shared" si="41"/>
        <v>3.3089399999999998</v>
      </c>
    </row>
    <row r="119" spans="1:16" x14ac:dyDescent="0.3">
      <c r="A119" s="276">
        <f t="shared" si="36"/>
        <v>108</v>
      </c>
      <c r="B119" s="285">
        <f t="shared" si="30"/>
        <v>1152.0177710117885</v>
      </c>
      <c r="C119" s="286">
        <f t="shared" ref="C119:C182" si="42">0.217*A119*A119/2</f>
        <v>1265.5440000000001</v>
      </c>
      <c r="D119" s="287">
        <f t="shared" ref="D119:D182" si="43">0.259*(172.9*A119-172.9*172.9*(1-EXP(-A119/172.9)))</f>
        <v>1239.5480522670196</v>
      </c>
      <c r="E119" s="287">
        <f t="shared" ref="E119:E182" si="44">0.338*(18.51*A119-18.51*18.51*(1-EXP(-A119/18.51)))</f>
        <v>560.22210198025425</v>
      </c>
      <c r="F119" s="288">
        <f t="shared" ref="F119:F182" si="45">0.186*(1.186*A119-1.186*1.186*(1-EXP(-A119/1.186)))</f>
        <v>23.562741144</v>
      </c>
      <c r="G119" s="285">
        <f t="shared" si="31"/>
        <v>11.99851908235096</v>
      </c>
      <c r="H119" s="286">
        <f t="shared" si="32"/>
        <v>23.436</v>
      </c>
      <c r="I119" s="287">
        <f t="shared" si="33"/>
        <v>20.802838332752923</v>
      </c>
      <c r="J119" s="287">
        <f t="shared" si="34"/>
        <v>6.2380841717853004</v>
      </c>
      <c r="K119" s="288">
        <f t="shared" si="35"/>
        <v>0.22059599999999999</v>
      </c>
      <c r="L119" s="285">
        <f t="shared" si="37"/>
        <v>179.95574408594558</v>
      </c>
      <c r="M119" s="286">
        <f t="shared" si="38"/>
        <v>327.1275</v>
      </c>
      <c r="N119" s="287">
        <f t="shared" si="39"/>
        <v>295.97961811631899</v>
      </c>
      <c r="O119" s="287">
        <f t="shared" si="40"/>
        <v>93.422804915553158</v>
      </c>
      <c r="P119" s="288">
        <f t="shared" si="41"/>
        <v>3.3089399999999998</v>
      </c>
    </row>
    <row r="120" spans="1:16" x14ac:dyDescent="0.3">
      <c r="A120" s="276">
        <f t="shared" si="36"/>
        <v>109</v>
      </c>
      <c r="B120" s="285">
        <f t="shared" si="30"/>
        <v>1164.0163501201382</v>
      </c>
      <c r="C120" s="286">
        <f t="shared" si="42"/>
        <v>1289.0884999999998</v>
      </c>
      <c r="D120" s="287">
        <f t="shared" si="43"/>
        <v>1260.4200985258014</v>
      </c>
      <c r="E120" s="287">
        <f t="shared" si="44"/>
        <v>566.46067158569895</v>
      </c>
      <c r="F120" s="288">
        <f t="shared" si="45"/>
        <v>23.783337144000001</v>
      </c>
      <c r="G120" s="285">
        <f t="shared" si="31"/>
        <v>11.998637489988475</v>
      </c>
      <c r="H120" s="286">
        <f t="shared" si="32"/>
        <v>23.652999999999999</v>
      </c>
      <c r="I120" s="287">
        <f t="shared" si="33"/>
        <v>20.941120887647187</v>
      </c>
      <c r="J120" s="287">
        <f t="shared" si="34"/>
        <v>6.239046375705084</v>
      </c>
      <c r="K120" s="288">
        <f t="shared" si="35"/>
        <v>0.22059599999999999</v>
      </c>
      <c r="L120" s="285">
        <f t="shared" si="37"/>
        <v>179.95928259345993</v>
      </c>
      <c r="M120" s="286">
        <f t="shared" si="38"/>
        <v>330.38249999999999</v>
      </c>
      <c r="N120" s="287">
        <f t="shared" si="39"/>
        <v>298.14649145834494</v>
      </c>
      <c r="O120" s="287">
        <f t="shared" si="40"/>
        <v>93.445045576273031</v>
      </c>
      <c r="P120" s="288">
        <f t="shared" si="41"/>
        <v>3.3089399999999998</v>
      </c>
    </row>
    <row r="121" spans="1:16" x14ac:dyDescent="0.3">
      <c r="A121" s="276">
        <f t="shared" si="36"/>
        <v>110</v>
      </c>
      <c r="B121" s="285">
        <f t="shared" si="30"/>
        <v>1176.0150428367117</v>
      </c>
      <c r="C121" s="286">
        <f t="shared" si="42"/>
        <v>1312.8500000000001</v>
      </c>
      <c r="D121" s="287">
        <f t="shared" si="43"/>
        <v>1281.4300282175989</v>
      </c>
      <c r="E121" s="287">
        <f t="shared" si="44"/>
        <v>572.70017786540927</v>
      </c>
      <c r="F121" s="288">
        <f t="shared" si="45"/>
        <v>24.003933143999994</v>
      </c>
      <c r="G121" s="285">
        <f t="shared" si="31"/>
        <v>11.99874643027402</v>
      </c>
      <c r="H121" s="286">
        <f t="shared" si="32"/>
        <v>23.87</v>
      </c>
      <c r="I121" s="287">
        <f t="shared" si="33"/>
        <v>21.078605967509549</v>
      </c>
      <c r="J121" s="287">
        <f t="shared" si="34"/>
        <v>6.2399579759368367</v>
      </c>
      <c r="K121" s="288">
        <f t="shared" si="35"/>
        <v>0.22059599999999999</v>
      </c>
      <c r="L121" s="285">
        <f t="shared" si="37"/>
        <v>179.96253817753461</v>
      </c>
      <c r="M121" s="286">
        <f t="shared" si="38"/>
        <v>333.63749999999999</v>
      </c>
      <c r="N121" s="287">
        <f t="shared" si="39"/>
        <v>300.30086844904957</v>
      </c>
      <c r="O121" s="287">
        <f t="shared" si="40"/>
        <v>93.466116568658009</v>
      </c>
      <c r="P121" s="288">
        <f t="shared" si="41"/>
        <v>3.3089399999999998</v>
      </c>
    </row>
    <row r="122" spans="1:16" x14ac:dyDescent="0.3">
      <c r="A122" s="276">
        <f t="shared" si="36"/>
        <v>111</v>
      </c>
      <c r="B122" s="285">
        <f t="shared" si="30"/>
        <v>1188.0138400778969</v>
      </c>
      <c r="C122" s="286">
        <f t="shared" si="42"/>
        <v>1336.8285000000001</v>
      </c>
      <c r="D122" s="287">
        <f t="shared" si="43"/>
        <v>1302.5770461691161</v>
      </c>
      <c r="E122" s="287">
        <f t="shared" si="44"/>
        <v>578.94057155833809</v>
      </c>
      <c r="F122" s="288">
        <f t="shared" si="45"/>
        <v>24.224529143999995</v>
      </c>
      <c r="G122" s="285">
        <f t="shared" si="31"/>
        <v>11.998846660175264</v>
      </c>
      <c r="H122" s="286">
        <f t="shared" si="32"/>
        <v>24.087</v>
      </c>
      <c r="I122" s="287">
        <f t="shared" si="33"/>
        <v>21.215298171375846</v>
      </c>
      <c r="J122" s="287">
        <f t="shared" si="34"/>
        <v>6.2408216338012927</v>
      </c>
      <c r="K122" s="288">
        <f t="shared" si="35"/>
        <v>0.22059599999999999</v>
      </c>
      <c r="L122" s="285">
        <f t="shared" si="37"/>
        <v>179.96553345947888</v>
      </c>
      <c r="M122" s="286">
        <f t="shared" si="38"/>
        <v>336.89249999999998</v>
      </c>
      <c r="N122" s="287">
        <f t="shared" si="39"/>
        <v>302.44282115484924</v>
      </c>
      <c r="O122" s="287">
        <f t="shared" si="40"/>
        <v>93.486079407248113</v>
      </c>
      <c r="P122" s="288">
        <f t="shared" si="41"/>
        <v>3.3089399999999998</v>
      </c>
    </row>
    <row r="123" spans="1:16" x14ac:dyDescent="0.3">
      <c r="A123" s="276">
        <f t="shared" si="36"/>
        <v>112</v>
      </c>
      <c r="B123" s="285">
        <f t="shared" si="30"/>
        <v>1200.0127334863671</v>
      </c>
      <c r="C123" s="286">
        <f t="shared" si="42"/>
        <v>1361.0239999999999</v>
      </c>
      <c r="D123" s="287">
        <f t="shared" si="43"/>
        <v>1323.8603617928159</v>
      </c>
      <c r="E123" s="287">
        <f t="shared" si="44"/>
        <v>585.18180599414836</v>
      </c>
      <c r="F123" s="288">
        <f t="shared" si="45"/>
        <v>24.445125143999999</v>
      </c>
      <c r="G123" s="285">
        <f t="shared" si="31"/>
        <v>11.998938876136082</v>
      </c>
      <c r="H123" s="286">
        <f t="shared" si="32"/>
        <v>24.303999999999998</v>
      </c>
      <c r="I123" s="287">
        <f t="shared" si="33"/>
        <v>21.351202071759307</v>
      </c>
      <c r="J123" s="287">
        <f t="shared" si="34"/>
        <v>6.2416398706565008</v>
      </c>
      <c r="K123" s="288">
        <f t="shared" si="35"/>
        <v>0.22059599999999999</v>
      </c>
      <c r="L123" s="285">
        <f t="shared" si="37"/>
        <v>179.96828925190195</v>
      </c>
      <c r="M123" s="286">
        <f t="shared" si="38"/>
        <v>340.14749999999998</v>
      </c>
      <c r="N123" s="287">
        <f t="shared" si="39"/>
        <v>304.57242122655339</v>
      </c>
      <c r="O123" s="287">
        <f t="shared" si="40"/>
        <v>93.504992371445226</v>
      </c>
      <c r="P123" s="288">
        <f t="shared" si="41"/>
        <v>3.3089399999999998</v>
      </c>
    </row>
    <row r="124" spans="1:16" x14ac:dyDescent="0.3">
      <c r="A124" s="276">
        <f t="shared" si="36"/>
        <v>113</v>
      </c>
      <c r="B124" s="285">
        <f t="shared" si="30"/>
        <v>1212.0117153730107</v>
      </c>
      <c r="C124" s="286">
        <f t="shared" si="42"/>
        <v>1385.4365</v>
      </c>
      <c r="D124" s="287">
        <f t="shared" si="43"/>
        <v>1345.2791890604797</v>
      </c>
      <c r="E124" s="287">
        <f t="shared" si="44"/>
        <v>591.42383695696219</v>
      </c>
      <c r="F124" s="288">
        <f t="shared" si="45"/>
        <v>24.665721143999999</v>
      </c>
      <c r="G124" s="285">
        <f t="shared" si="31"/>
        <v>11.999023718915772</v>
      </c>
      <c r="H124" s="286">
        <f t="shared" si="32"/>
        <v>24.521000000000001</v>
      </c>
      <c r="I124" s="287">
        <f t="shared" si="33"/>
        <v>21.486322214803472</v>
      </c>
      <c r="J124" s="287">
        <f t="shared" si="34"/>
        <v>6.2424150752586653</v>
      </c>
      <c r="K124" s="288">
        <f t="shared" si="35"/>
        <v>0.22059599999999999</v>
      </c>
      <c r="L124" s="285">
        <f t="shared" si="37"/>
        <v>179.97082470332867</v>
      </c>
      <c r="M124" s="286">
        <f t="shared" si="38"/>
        <v>343.40249999999997</v>
      </c>
      <c r="N124" s="287">
        <f t="shared" si="39"/>
        <v>306.68973990176164</v>
      </c>
      <c r="O124" s="287">
        <f t="shared" si="40"/>
        <v>93.522910675653605</v>
      </c>
      <c r="P124" s="288">
        <f t="shared" si="41"/>
        <v>3.3089399999999998</v>
      </c>
    </row>
    <row r="125" spans="1:16" x14ac:dyDescent="0.3">
      <c r="A125" s="276">
        <f t="shared" si="36"/>
        <v>114</v>
      </c>
      <c r="B125" s="285">
        <f t="shared" si="30"/>
        <v>1224.0107786635037</v>
      </c>
      <c r="C125" s="286">
        <f t="shared" si="42"/>
        <v>1410.066</v>
      </c>
      <c r="D125" s="287">
        <f t="shared" si="43"/>
        <v>1366.8327464769086</v>
      </c>
      <c r="E125" s="287">
        <f t="shared" si="44"/>
        <v>597.66662255627932</v>
      </c>
      <c r="F125" s="288">
        <f t="shared" si="45"/>
        <v>24.886317144</v>
      </c>
      <c r="G125" s="285">
        <f t="shared" si="31"/>
        <v>11.999101778041348</v>
      </c>
      <c r="H125" s="286">
        <f t="shared" si="32"/>
        <v>24.738</v>
      </c>
      <c r="I125" s="287">
        <f t="shared" si="33"/>
        <v>21.620663120434308</v>
      </c>
      <c r="J125" s="287">
        <f t="shared" si="34"/>
        <v>6.2431495107358632</v>
      </c>
      <c r="K125" s="288">
        <f t="shared" si="35"/>
        <v>0.22059599999999999</v>
      </c>
      <c r="L125" s="285">
        <f t="shared" si="37"/>
        <v>179.97315743125239</v>
      </c>
      <c r="M125" s="286">
        <f t="shared" si="38"/>
        <v>346.65749999999997</v>
      </c>
      <c r="N125" s="287">
        <f t="shared" si="39"/>
        <v>308.79484800724657</v>
      </c>
      <c r="O125" s="287">
        <f t="shared" si="40"/>
        <v>93.539886630472708</v>
      </c>
      <c r="P125" s="288">
        <f t="shared" si="41"/>
        <v>3.3089399999999998</v>
      </c>
    </row>
    <row r="126" spans="1:16" x14ac:dyDescent="0.3">
      <c r="A126" s="276">
        <f t="shared" si="36"/>
        <v>115</v>
      </c>
      <c r="B126" s="285">
        <f t="shared" si="30"/>
        <v>1236.0099168491538</v>
      </c>
      <c r="C126" s="286">
        <f t="shared" si="42"/>
        <v>1434.9124999999999</v>
      </c>
      <c r="D126" s="287">
        <f t="shared" si="43"/>
        <v>1388.5202570537849</v>
      </c>
      <c r="E126" s="287">
        <f t="shared" si="44"/>
        <v>603.91012310468045</v>
      </c>
      <c r="F126" s="288">
        <f t="shared" si="45"/>
        <v>25.106913143999996</v>
      </c>
      <c r="G126" s="285">
        <f t="shared" si="31"/>
        <v>11.999173595903844</v>
      </c>
      <c r="H126" s="286">
        <f t="shared" si="32"/>
        <v>24.954999999999998</v>
      </c>
      <c r="I126" s="287">
        <f t="shared" si="33"/>
        <v>21.754229282511364</v>
      </c>
      <c r="J126" s="287">
        <f t="shared" si="34"/>
        <v>6.243845321195014</v>
      </c>
      <c r="K126" s="288">
        <f t="shared" si="35"/>
        <v>0.22059599999999999</v>
      </c>
      <c r="L126" s="285">
        <f t="shared" si="37"/>
        <v>179.97530364454946</v>
      </c>
      <c r="M126" s="286">
        <f t="shared" si="38"/>
        <v>349.91250000000002</v>
      </c>
      <c r="N126" s="287">
        <f t="shared" si="39"/>
        <v>310.88781596132281</v>
      </c>
      <c r="O126" s="287">
        <f t="shared" si="40"/>
        <v>93.555969795412196</v>
      </c>
      <c r="P126" s="288">
        <f t="shared" si="41"/>
        <v>3.3089399999999998</v>
      </c>
    </row>
    <row r="127" spans="1:16" x14ac:dyDescent="0.3">
      <c r="A127" s="276">
        <f t="shared" si="36"/>
        <v>116</v>
      </c>
      <c r="B127" s="285">
        <f t="shared" si="30"/>
        <v>1248.0091239416747</v>
      </c>
      <c r="C127" s="286">
        <f t="shared" si="42"/>
        <v>1459.9760000000001</v>
      </c>
      <c r="D127" s="287">
        <f t="shared" si="43"/>
        <v>1410.340948283681</v>
      </c>
      <c r="E127" s="287">
        <f t="shared" si="44"/>
        <v>610.154301001965</v>
      </c>
      <c r="F127" s="288">
        <f t="shared" si="45"/>
        <v>25.327509143999997</v>
      </c>
      <c r="G127" s="285">
        <f t="shared" si="31"/>
        <v>11.999239671527105</v>
      </c>
      <c r="H127" s="286">
        <f t="shared" si="32"/>
        <v>25.172000000000001</v>
      </c>
      <c r="I127" s="287">
        <f t="shared" si="33"/>
        <v>21.887025168978131</v>
      </c>
      <c r="J127" s="287">
        <f t="shared" si="34"/>
        <v>6.2445045379813688</v>
      </c>
      <c r="K127" s="288">
        <f t="shared" si="35"/>
        <v>0.22059599999999999</v>
      </c>
      <c r="L127" s="285">
        <f t="shared" si="37"/>
        <v>179.97727825610602</v>
      </c>
      <c r="M127" s="286">
        <f t="shared" si="38"/>
        <v>353.16750000000002</v>
      </c>
      <c r="N127" s="287">
        <f t="shared" si="39"/>
        <v>312.96871377620312</v>
      </c>
      <c r="O127" s="287">
        <f t="shared" si="40"/>
        <v>93.571207123575903</v>
      </c>
      <c r="P127" s="288">
        <f t="shared" si="41"/>
        <v>3.3089399999999998</v>
      </c>
    </row>
    <row r="128" spans="1:16" x14ac:dyDescent="0.3">
      <c r="A128" s="276">
        <f t="shared" si="36"/>
        <v>117</v>
      </c>
      <c r="B128" s="285">
        <f t="shared" si="30"/>
        <v>1260.0083944315772</v>
      </c>
      <c r="C128" s="286">
        <f t="shared" si="42"/>
        <v>1485.2565</v>
      </c>
      <c r="D128" s="287">
        <f t="shared" si="43"/>
        <v>1432.294052114215</v>
      </c>
      <c r="E128" s="287">
        <f t="shared" si="44"/>
        <v>616.39912062538099</v>
      </c>
      <c r="F128" s="288">
        <f t="shared" si="45"/>
        <v>25.548105143999997</v>
      </c>
      <c r="G128" s="285">
        <f t="shared" si="31"/>
        <v>11.99930046403523</v>
      </c>
      <c r="H128" s="286">
        <f t="shared" si="32"/>
        <v>25.388999999999999</v>
      </c>
      <c r="I128" s="287">
        <f t="shared" si="33"/>
        <v>22.019055222011477</v>
      </c>
      <c r="J128" s="287">
        <f t="shared" si="34"/>
        <v>6.2451290856088111</v>
      </c>
      <c r="K128" s="288">
        <f t="shared" si="35"/>
        <v>0.22059599999999999</v>
      </c>
      <c r="L128" s="285">
        <f t="shared" si="37"/>
        <v>179.97909498643972</v>
      </c>
      <c r="M128" s="286">
        <f t="shared" si="38"/>
        <v>356.42250000000001</v>
      </c>
      <c r="N128" s="287">
        <f t="shared" si="39"/>
        <v>315.03761106033983</v>
      </c>
      <c r="O128" s="287">
        <f t="shared" si="40"/>
        <v>93.585643098736384</v>
      </c>
      <c r="P128" s="288">
        <f t="shared" si="41"/>
        <v>3.3089399999999998</v>
      </c>
    </row>
    <row r="129" spans="1:16" x14ac:dyDescent="0.3">
      <c r="A129" s="276">
        <f t="shared" si="36"/>
        <v>118</v>
      </c>
      <c r="B129" s="285">
        <f t="shared" si="30"/>
        <v>1272.0077232498866</v>
      </c>
      <c r="C129" s="286">
        <f t="shared" si="42"/>
        <v>1510.7539999999999</v>
      </c>
      <c r="D129" s="287">
        <f t="shared" si="43"/>
        <v>1454.378804922362</v>
      </c>
      <c r="E129" s="287">
        <f t="shared" si="44"/>
        <v>622.64454822562845</v>
      </c>
      <c r="F129" s="288">
        <f t="shared" si="45"/>
        <v>25.768701143999994</v>
      </c>
      <c r="G129" s="285">
        <f t="shared" si="31"/>
        <v>11.999356395842781</v>
      </c>
      <c r="H129" s="286">
        <f t="shared" si="32"/>
        <v>25.605999999999998</v>
      </c>
      <c r="I129" s="287">
        <f t="shared" si="33"/>
        <v>22.15032385817026</v>
      </c>
      <c r="J129" s="287">
        <f t="shared" si="34"/>
        <v>6.2457207873782696</v>
      </c>
      <c r="K129" s="288">
        <f t="shared" si="35"/>
        <v>0.22059599999999999</v>
      </c>
      <c r="L129" s="285">
        <f t="shared" si="37"/>
        <v>179.98076645903612</v>
      </c>
      <c r="M129" s="286">
        <f t="shared" si="38"/>
        <v>359.67750000000001</v>
      </c>
      <c r="N129" s="287">
        <f t="shared" si="39"/>
        <v>317.09457702075366</v>
      </c>
      <c r="O129" s="287">
        <f t="shared" si="40"/>
        <v>93.599319865200655</v>
      </c>
      <c r="P129" s="288">
        <f t="shared" si="41"/>
        <v>3.3089399999999998</v>
      </c>
    </row>
    <row r="130" spans="1:16" x14ac:dyDescent="0.3">
      <c r="A130" s="276">
        <f t="shared" si="36"/>
        <v>119</v>
      </c>
      <c r="B130" s="285">
        <f t="shared" si="30"/>
        <v>1284.007105732921</v>
      </c>
      <c r="C130" s="286">
        <f t="shared" si="42"/>
        <v>1536.4684999999999</v>
      </c>
      <c r="D130" s="287">
        <f t="shared" si="43"/>
        <v>1476.5944474889081</v>
      </c>
      <c r="E130" s="287">
        <f t="shared" si="44"/>
        <v>628.8905518283309</v>
      </c>
      <c r="F130" s="288">
        <f t="shared" si="45"/>
        <v>25.989297143999995</v>
      </c>
      <c r="G130" s="285">
        <f t="shared" si="31"/>
        <v>11.999407855589919</v>
      </c>
      <c r="H130" s="286">
        <f t="shared" si="32"/>
        <v>25.823</v>
      </c>
      <c r="I130" s="287">
        <f t="shared" si="33"/>
        <v>22.280835468543042</v>
      </c>
      <c r="J130" s="287">
        <f t="shared" si="34"/>
        <v>6.2462813707006584</v>
      </c>
      <c r="K130" s="288">
        <f t="shared" si="35"/>
        <v>0.22059599999999999</v>
      </c>
      <c r="L130" s="285">
        <f t="shared" si="37"/>
        <v>179.98230428806264</v>
      </c>
      <c r="M130" s="286">
        <f t="shared" si="38"/>
        <v>362.9325</v>
      </c>
      <c r="N130" s="287">
        <f t="shared" si="39"/>
        <v>319.1396804653487</v>
      </c>
      <c r="O130" s="287">
        <f t="shared" si="40"/>
        <v>93.612277350845957</v>
      </c>
      <c r="P130" s="288">
        <f t="shared" si="41"/>
        <v>3.3089399999999998</v>
      </c>
    </row>
    <row r="131" spans="1:16" x14ac:dyDescent="0.3">
      <c r="A131" s="276">
        <f t="shared" si="36"/>
        <v>120</v>
      </c>
      <c r="B131" s="285">
        <f t="shared" si="30"/>
        <v>1296.0065375898857</v>
      </c>
      <c r="C131" s="286">
        <f t="shared" si="42"/>
        <v>1562.3999999999999</v>
      </c>
      <c r="D131" s="287">
        <f t="shared" si="43"/>
        <v>1498.9402249730542</v>
      </c>
      <c r="E131" s="287">
        <f t="shared" si="44"/>
        <v>635.13710114069124</v>
      </c>
      <c r="F131" s="288">
        <f t="shared" si="45"/>
        <v>26.209893143999999</v>
      </c>
      <c r="G131" s="285">
        <f t="shared" si="31"/>
        <v>11.999455200842849</v>
      </c>
      <c r="H131" s="286">
        <f t="shared" si="32"/>
        <v>26.04</v>
      </c>
      <c r="I131" s="287">
        <f t="shared" si="33"/>
        <v>22.410594418894998</v>
      </c>
      <c r="J131" s="287">
        <f t="shared" si="34"/>
        <v>6.2468124721398626</v>
      </c>
      <c r="K131" s="288">
        <f t="shared" si="35"/>
        <v>0.22059599999999999</v>
      </c>
      <c r="L131" s="285">
        <f t="shared" si="37"/>
        <v>179.98371915906912</v>
      </c>
      <c r="M131" s="286">
        <f t="shared" si="38"/>
        <v>366.1875</v>
      </c>
      <c r="N131" s="287">
        <f t="shared" si="39"/>
        <v>321.17298980521389</v>
      </c>
      <c r="O131" s="287">
        <f t="shared" si="40"/>
        <v>93.624553383685068</v>
      </c>
      <c r="P131" s="288">
        <f t="shared" si="41"/>
        <v>3.3089399999999998</v>
      </c>
    </row>
    <row r="132" spans="1:16" x14ac:dyDescent="0.3">
      <c r="A132" s="276">
        <f t="shared" si="36"/>
        <v>121</v>
      </c>
      <c r="B132" s="285">
        <f t="shared" ref="B132:B195" si="46">12*A132-12*12*(1-EXP(-A132/12))</f>
        <v>1308.0060148730595</v>
      </c>
      <c r="C132" s="286">
        <f t="shared" si="42"/>
        <v>1588.5485000000001</v>
      </c>
      <c r="D132" s="287">
        <f t="shared" si="43"/>
        <v>1521.4153868871647</v>
      </c>
      <c r="E132" s="287">
        <f t="shared" si="44"/>
        <v>641.38416746305347</v>
      </c>
      <c r="F132" s="288">
        <f t="shared" si="45"/>
        <v>26.430489143999999</v>
      </c>
      <c r="G132" s="285">
        <f t="shared" ref="G132:G195" si="47">12*(1-EXP(-A132/12))</f>
        <v>11.999498760578369</v>
      </c>
      <c r="H132" s="286">
        <f t="shared" ref="H132:H195" si="48">0.217*A132</f>
        <v>26.257000000000001</v>
      </c>
      <c r="I132" s="287">
        <f t="shared" ref="I132:I195" si="49">0.259*172.9*(1-EXP(-A132/172.9))</f>
        <v>22.539605049813968</v>
      </c>
      <c r="J132" s="287">
        <f t="shared" ref="J132:J195" si="50">0.338*18.51*(1-EXP(-A132/18.51))</f>
        <v>6.2473156421905234</v>
      </c>
      <c r="K132" s="288">
        <f t="shared" ref="K132:K195" si="51">0.186*1.186*(1-EXP(-A132/1.186))</f>
        <v>0.22059599999999999</v>
      </c>
      <c r="L132" s="285">
        <f t="shared" si="37"/>
        <v>179.98502090323609</v>
      </c>
      <c r="M132" s="286">
        <f t="shared" si="38"/>
        <v>369.4425</v>
      </c>
      <c r="N132" s="287">
        <f t="shared" si="39"/>
        <v>323.19457305691191</v>
      </c>
      <c r="O132" s="287">
        <f t="shared" si="40"/>
        <v>93.636183802301161</v>
      </c>
      <c r="P132" s="288">
        <f t="shared" si="41"/>
        <v>3.3089399999999998</v>
      </c>
    </row>
    <row r="133" spans="1:16" x14ac:dyDescent="0.3">
      <c r="A133" s="276">
        <f t="shared" si="36"/>
        <v>122</v>
      </c>
      <c r="B133" s="285">
        <f t="shared" si="46"/>
        <v>1320.0055339503631</v>
      </c>
      <c r="C133" s="286">
        <f t="shared" si="42"/>
        <v>1614.914</v>
      </c>
      <c r="D133" s="287">
        <f t="shared" si="43"/>
        <v>1544.0191870716658</v>
      </c>
      <c r="E133" s="287">
        <f t="shared" si="44"/>
        <v>647.63172360511817</v>
      </c>
      <c r="F133" s="288">
        <f t="shared" si="45"/>
        <v>26.651085144</v>
      </c>
      <c r="G133" s="285">
        <f t="shared" si="47"/>
        <v>11.999538837469737</v>
      </c>
      <c r="H133" s="286">
        <f t="shared" si="48"/>
        <v>26.474</v>
      </c>
      <c r="I133" s="287">
        <f t="shared" si="49"/>
        <v>22.667871676855601</v>
      </c>
      <c r="J133" s="287">
        <f t="shared" si="50"/>
        <v>6.2477923498045351</v>
      </c>
      <c r="K133" s="288">
        <f t="shared" si="51"/>
        <v>0.22059599999999999</v>
      </c>
      <c r="L133" s="285">
        <f t="shared" si="37"/>
        <v>179.98621856568616</v>
      </c>
      <c r="M133" s="286">
        <f t="shared" si="38"/>
        <v>372.69749999999999</v>
      </c>
      <c r="N133" s="287">
        <f t="shared" si="39"/>
        <v>325.20449784475386</v>
      </c>
      <c r="O133" s="287">
        <f t="shared" si="40"/>
        <v>93.647202560474796</v>
      </c>
      <c r="P133" s="288">
        <f t="shared" si="41"/>
        <v>3.3089399999999998</v>
      </c>
    </row>
    <row r="134" spans="1:16" x14ac:dyDescent="0.3">
      <c r="A134" s="276">
        <f t="shared" si="36"/>
        <v>123</v>
      </c>
      <c r="B134" s="285">
        <f t="shared" si="46"/>
        <v>1332.0050914801225</v>
      </c>
      <c r="C134" s="286">
        <f t="shared" si="42"/>
        <v>1641.4965</v>
      </c>
      <c r="D134" s="287">
        <f t="shared" si="43"/>
        <v>1566.7508836700808</v>
      </c>
      <c r="E134" s="287">
        <f t="shared" si="44"/>
        <v>653.87974380656249</v>
      </c>
      <c r="F134" s="288">
        <f t="shared" si="45"/>
        <v>26.871681143999997</v>
      </c>
      <c r="G134" s="285">
        <f t="shared" si="47"/>
        <v>11.999575709989795</v>
      </c>
      <c r="H134" s="286">
        <f t="shared" si="48"/>
        <v>26.690999999999999</v>
      </c>
      <c r="I134" s="287">
        <f t="shared" si="49"/>
        <v>22.795398590687793</v>
      </c>
      <c r="J134" s="287">
        <f t="shared" si="50"/>
        <v>6.2482439866795012</v>
      </c>
      <c r="K134" s="288">
        <f t="shared" si="51"/>
        <v>0.22059599999999999</v>
      </c>
      <c r="L134" s="285">
        <f t="shared" si="37"/>
        <v>179.98732046833399</v>
      </c>
      <c r="M134" s="286">
        <f t="shared" si="38"/>
        <v>375.95249999999999</v>
      </c>
      <c r="N134" s="287">
        <f t="shared" si="39"/>
        <v>327.20283140306202</v>
      </c>
      <c r="O134" s="287">
        <f t="shared" si="40"/>
        <v>93.657641826308335</v>
      </c>
      <c r="P134" s="288">
        <f t="shared" si="41"/>
        <v>3.3089399999999998</v>
      </c>
    </row>
    <row r="135" spans="1:16" x14ac:dyDescent="0.3">
      <c r="A135" s="276">
        <f t="shared" si="36"/>
        <v>124</v>
      </c>
      <c r="B135" s="285">
        <f t="shared" si="46"/>
        <v>1344.0046843878488</v>
      </c>
      <c r="C135" s="286">
        <f t="shared" si="42"/>
        <v>1668.296</v>
      </c>
      <c r="D135" s="287">
        <f t="shared" si="43"/>
        <v>1589.6097391042201</v>
      </c>
      <c r="E135" s="287">
        <f t="shared" si="44"/>
        <v>660.12820366183644</v>
      </c>
      <c r="F135" s="288">
        <f t="shared" si="45"/>
        <v>27.092277143999997</v>
      </c>
      <c r="G135" s="285">
        <f t="shared" si="47"/>
        <v>11.999609634345928</v>
      </c>
      <c r="H135" s="286">
        <f t="shared" si="48"/>
        <v>26.908000000000001</v>
      </c>
      <c r="I135" s="287">
        <f t="shared" si="49"/>
        <v>22.922190057234126</v>
      </c>
      <c r="J135" s="287">
        <f t="shared" si="50"/>
        <v>6.2486718713216467</v>
      </c>
      <c r="K135" s="288">
        <f t="shared" si="51"/>
        <v>0.22059599999999999</v>
      </c>
      <c r="L135" s="285">
        <f t="shared" si="37"/>
        <v>179.98833426771057</v>
      </c>
      <c r="M135" s="286">
        <f t="shared" si="38"/>
        <v>379.20749999999998</v>
      </c>
      <c r="N135" s="287">
        <f t="shared" si="39"/>
        <v>329.18964057841828</v>
      </c>
      <c r="O135" s="287">
        <f t="shared" si="40"/>
        <v>93.667532076137434</v>
      </c>
      <c r="P135" s="288">
        <f t="shared" si="41"/>
        <v>3.3089399999999998</v>
      </c>
    </row>
    <row r="136" spans="1:16" x14ac:dyDescent="0.3">
      <c r="A136" s="276">
        <f t="shared" si="36"/>
        <v>125</v>
      </c>
      <c r="B136" s="285">
        <f t="shared" si="46"/>
        <v>1356.0043098448764</v>
      </c>
      <c r="C136" s="286">
        <f t="shared" si="42"/>
        <v>1695.3125</v>
      </c>
      <c r="D136" s="287">
        <f t="shared" si="43"/>
        <v>1612.5950200495004</v>
      </c>
      <c r="E136" s="287">
        <f t="shared" si="44"/>
        <v>666.3770800489126</v>
      </c>
      <c r="F136" s="288">
        <f t="shared" si="45"/>
        <v>27.312873143999997</v>
      </c>
      <c r="G136" s="285">
        <f t="shared" si="47"/>
        <v>11.999640846260307</v>
      </c>
      <c r="H136" s="286">
        <f t="shared" si="48"/>
        <v>27.125</v>
      </c>
      <c r="I136" s="287">
        <f t="shared" si="49"/>
        <v>23.048250317816652</v>
      </c>
      <c r="J136" s="287">
        <f t="shared" si="50"/>
        <v>6.2490772528950567</v>
      </c>
      <c r="K136" s="288">
        <f t="shared" si="51"/>
        <v>0.22059599999999999</v>
      </c>
      <c r="L136" s="285">
        <f t="shared" si="37"/>
        <v>179.98926700816455</v>
      </c>
      <c r="M136" s="286">
        <f t="shared" si="38"/>
        <v>382.46249999999998</v>
      </c>
      <c r="N136" s="287">
        <f t="shared" si="39"/>
        <v>331.16499183190064</v>
      </c>
      <c r="O136" s="287">
        <f t="shared" si="40"/>
        <v>93.676902183503358</v>
      </c>
      <c r="P136" s="288">
        <f t="shared" si="41"/>
        <v>3.3089399999999998</v>
      </c>
    </row>
    <row r="137" spans="1:16" x14ac:dyDescent="0.3">
      <c r="A137" s="276">
        <f t="shared" si="36"/>
        <v>126</v>
      </c>
      <c r="B137" s="285">
        <f t="shared" si="46"/>
        <v>1368.0039652487064</v>
      </c>
      <c r="C137" s="286">
        <f t="shared" si="42"/>
        <v>1722.5459999999998</v>
      </c>
      <c r="D137" s="287">
        <f t="shared" si="43"/>
        <v>1635.7059974104234</v>
      </c>
      <c r="E137" s="287">
        <f t="shared" si="44"/>
        <v>672.62635106178448</v>
      </c>
      <c r="F137" s="288">
        <f t="shared" si="45"/>
        <v>27.533469143999994</v>
      </c>
      <c r="G137" s="285">
        <f t="shared" si="47"/>
        <v>11.999669562607803</v>
      </c>
      <c r="H137" s="286">
        <f t="shared" si="48"/>
        <v>27.341999999999999</v>
      </c>
      <c r="I137" s="287">
        <f t="shared" si="49"/>
        <v>23.173583589297724</v>
      </c>
      <c r="J137" s="287">
        <f t="shared" si="50"/>
        <v>6.2494613148684808</v>
      </c>
      <c r="K137" s="288">
        <f t="shared" si="51"/>
        <v>0.22059599999999999</v>
      </c>
      <c r="L137" s="285">
        <f t="shared" si="37"/>
        <v>179.99012517080953</v>
      </c>
      <c r="M137" s="286">
        <f t="shared" si="38"/>
        <v>385.71749999999997</v>
      </c>
      <c r="N137" s="287">
        <f t="shared" si="39"/>
        <v>333.1289512413062</v>
      </c>
      <c r="O137" s="287">
        <f t="shared" si="40"/>
        <v>93.685779503446369</v>
      </c>
      <c r="P137" s="288">
        <f t="shared" si="41"/>
        <v>3.3089399999999998</v>
      </c>
    </row>
    <row r="138" spans="1:16" x14ac:dyDescent="0.3">
      <c r="A138" s="276">
        <f t="shared" si="36"/>
        <v>127</v>
      </c>
      <c r="B138" s="285">
        <f t="shared" si="46"/>
        <v>1380.003648204925</v>
      </c>
      <c r="C138" s="286">
        <f t="shared" si="42"/>
        <v>1749.9965</v>
      </c>
      <c r="D138" s="287">
        <f t="shared" si="43"/>
        <v>1658.9419462961778</v>
      </c>
      <c r="E138" s="287">
        <f t="shared" si="44"/>
        <v>678.87599594651397</v>
      </c>
      <c r="F138" s="288">
        <f t="shared" si="45"/>
        <v>27.754065143999995</v>
      </c>
      <c r="G138" s="285">
        <f t="shared" si="47"/>
        <v>11.999695982922924</v>
      </c>
      <c r="H138" s="286">
        <f t="shared" si="48"/>
        <v>27.559000000000001</v>
      </c>
      <c r="I138" s="287">
        <f t="shared" si="49"/>
        <v>23.298194064221061</v>
      </c>
      <c r="J138" s="287">
        <f t="shared" si="50"/>
        <v>6.2498251784703456</v>
      </c>
      <c r="K138" s="288">
        <f t="shared" si="51"/>
        <v>0.22059599999999999</v>
      </c>
      <c r="L138" s="285">
        <f t="shared" si="37"/>
        <v>179.99091471855789</v>
      </c>
      <c r="M138" s="286">
        <f t="shared" si="38"/>
        <v>388.97250000000003</v>
      </c>
      <c r="N138" s="287">
        <f t="shared" si="39"/>
        <v>335.0815845033618</v>
      </c>
      <c r="O138" s="287">
        <f t="shared" si="40"/>
        <v>93.694189952365747</v>
      </c>
      <c r="P138" s="288">
        <f t="shared" si="41"/>
        <v>3.3089399999999998</v>
      </c>
    </row>
    <row r="139" spans="1:16" x14ac:dyDescent="0.3">
      <c r="A139" s="276">
        <f t="shared" si="36"/>
        <v>128</v>
      </c>
      <c r="B139" s="285">
        <f t="shared" si="46"/>
        <v>1392.0033565105646</v>
      </c>
      <c r="C139" s="286">
        <f t="shared" si="42"/>
        <v>1777.664</v>
      </c>
      <c r="D139" s="287">
        <f t="shared" si="43"/>
        <v>1682.3021459964018</v>
      </c>
      <c r="E139" s="287">
        <f t="shared" si="44"/>
        <v>685.12599504064235</v>
      </c>
      <c r="F139" s="288">
        <f t="shared" si="45"/>
        <v>27.974661143999999</v>
      </c>
      <c r="G139" s="285">
        <f t="shared" si="47"/>
        <v>11.999720290786286</v>
      </c>
      <c r="H139" s="286">
        <f t="shared" si="48"/>
        <v>27.776</v>
      </c>
      <c r="I139" s="287">
        <f t="shared" si="49"/>
        <v>23.422085910951985</v>
      </c>
      <c r="J139" s="287">
        <f t="shared" si="50"/>
        <v>6.2501699059620615</v>
      </c>
      <c r="K139" s="288">
        <f t="shared" si="51"/>
        <v>0.22059599999999999</v>
      </c>
      <c r="L139" s="285">
        <f t="shared" si="37"/>
        <v>179.99164113755384</v>
      </c>
      <c r="M139" s="286">
        <f t="shared" si="38"/>
        <v>392.22750000000002</v>
      </c>
      <c r="N139" s="287">
        <f t="shared" si="39"/>
        <v>337.02295693592112</v>
      </c>
      <c r="O139" s="287">
        <f t="shared" si="40"/>
        <v>93.70215808368016</v>
      </c>
      <c r="P139" s="288">
        <f t="shared" si="41"/>
        <v>3.3089399999999998</v>
      </c>
    </row>
    <row r="140" spans="1:16" x14ac:dyDescent="0.3">
      <c r="A140" s="276">
        <f t="shared" si="36"/>
        <v>129</v>
      </c>
      <c r="B140" s="285">
        <f t="shared" si="46"/>
        <v>1404.0030881387975</v>
      </c>
      <c r="C140" s="286">
        <f t="shared" si="42"/>
        <v>1805.5484999999999</v>
      </c>
      <c r="D140" s="287">
        <f t="shared" si="43"/>
        <v>1705.785879957059</v>
      </c>
      <c r="E140" s="287">
        <f t="shared" si="44"/>
        <v>691.37632971578785</v>
      </c>
      <c r="F140" s="288">
        <f t="shared" si="45"/>
        <v>28.195257143999999</v>
      </c>
      <c r="G140" s="285">
        <f t="shared" si="47"/>
        <v>11.999742655100201</v>
      </c>
      <c r="H140" s="286">
        <f t="shared" si="48"/>
        <v>27.992999999999999</v>
      </c>
      <c r="I140" s="287">
        <f t="shared" si="49"/>
        <v>23.545263273816893</v>
      </c>
      <c r="J140" s="287">
        <f t="shared" si="50"/>
        <v>6.2504965037391838</v>
      </c>
      <c r="K140" s="288">
        <f t="shared" si="51"/>
        <v>0.22059599999999999</v>
      </c>
      <c r="L140" s="285">
        <f t="shared" si="37"/>
        <v>179.99230947529375</v>
      </c>
      <c r="M140" s="286">
        <f t="shared" si="38"/>
        <v>395.48250000000002</v>
      </c>
      <c r="N140" s="287">
        <f t="shared" si="39"/>
        <v>338.95313348015048</v>
      </c>
      <c r="O140" s="287">
        <f t="shared" si="40"/>
        <v>93.709707159508568</v>
      </c>
      <c r="P140" s="288">
        <f t="shared" si="41"/>
        <v>3.3089399999999998</v>
      </c>
    </row>
    <row r="141" spans="1:16" x14ac:dyDescent="0.3">
      <c r="A141" s="276">
        <f t="shared" si="36"/>
        <v>130</v>
      </c>
      <c r="B141" s="285">
        <f t="shared" si="46"/>
        <v>1416.0028412248523</v>
      </c>
      <c r="C141" s="286">
        <f t="shared" si="42"/>
        <v>1833.65</v>
      </c>
      <c r="D141" s="287">
        <f t="shared" si="43"/>
        <v>1729.3924357564856</v>
      </c>
      <c r="E141" s="287">
        <f t="shared" si="44"/>
        <v>697.62698232326204</v>
      </c>
      <c r="F141" s="288">
        <f t="shared" si="45"/>
        <v>28.415853144</v>
      </c>
      <c r="G141" s="285">
        <f t="shared" si="47"/>
        <v>11.999763231262307</v>
      </c>
      <c r="H141" s="286">
        <f t="shared" si="48"/>
        <v>28.21</v>
      </c>
      <c r="I141" s="287">
        <f t="shared" si="49"/>
        <v>23.66773027324184</v>
      </c>
      <c r="J141" s="287">
        <f t="shared" si="50"/>
        <v>6.2508059252694785</v>
      </c>
      <c r="K141" s="288">
        <f t="shared" si="51"/>
        <v>0.22059599999999999</v>
      </c>
      <c r="L141" s="285">
        <f t="shared" si="37"/>
        <v>179.99292437569846</v>
      </c>
      <c r="M141" s="286">
        <f t="shared" si="38"/>
        <v>398.73750000000001</v>
      </c>
      <c r="N141" s="287">
        <f t="shared" si="39"/>
        <v>340.8721787027003</v>
      </c>
      <c r="O141" s="287">
        <f t="shared" si="40"/>
        <v>93.716859218581689</v>
      </c>
      <c r="P141" s="288">
        <f t="shared" si="41"/>
        <v>3.3089399999999998</v>
      </c>
    </row>
    <row r="142" spans="1:16" x14ac:dyDescent="0.3">
      <c r="A142" s="276">
        <f t="shared" ref="A142:A205" si="52">A141+1</f>
        <v>131</v>
      </c>
      <c r="B142" s="285">
        <f t="shared" si="46"/>
        <v>1428.002614053056</v>
      </c>
      <c r="C142" s="286">
        <f t="shared" si="42"/>
        <v>1861.9684999999999</v>
      </c>
      <c r="D142" s="287">
        <f t="shared" si="43"/>
        <v>1753.1211050815468</v>
      </c>
      <c r="E142" s="287">
        <f t="shared" si="44"/>
        <v>703.87793614254679</v>
      </c>
      <c r="F142" s="288">
        <f t="shared" si="45"/>
        <v>28.636449143999997</v>
      </c>
      <c r="G142" s="285">
        <f t="shared" si="47"/>
        <v>11.999782162245326</v>
      </c>
      <c r="H142" s="286">
        <f t="shared" si="48"/>
        <v>28.427</v>
      </c>
      <c r="I142" s="287">
        <f t="shared" si="49"/>
        <v>23.789491005890419</v>
      </c>
      <c r="J142" s="287">
        <f t="shared" si="50"/>
        <v>6.2510990738764685</v>
      </c>
      <c r="K142" s="288">
        <f t="shared" si="51"/>
        <v>0.22059599999999999</v>
      </c>
      <c r="L142" s="285">
        <f t="shared" si="37"/>
        <v>179.99349011138133</v>
      </c>
      <c r="M142" s="286">
        <f t="shared" si="38"/>
        <v>401.99250000000001</v>
      </c>
      <c r="N142" s="287">
        <f t="shared" si="39"/>
        <v>342.78015679786557</v>
      </c>
      <c r="O142" s="287">
        <f t="shared" si="40"/>
        <v>93.72363514058172</v>
      </c>
      <c r="P142" s="288">
        <f t="shared" si="41"/>
        <v>3.3089399999999998</v>
      </c>
    </row>
    <row r="143" spans="1:16" x14ac:dyDescent="0.3">
      <c r="A143" s="276">
        <f t="shared" si="52"/>
        <v>132</v>
      </c>
      <c r="B143" s="285">
        <f t="shared" si="46"/>
        <v>1440.0024050449138</v>
      </c>
      <c r="C143" s="286">
        <f t="shared" si="42"/>
        <v>1890.5039999999999</v>
      </c>
      <c r="D143" s="287">
        <f t="shared" si="43"/>
        <v>1776.9711837039479</v>
      </c>
      <c r="E143" s="287">
        <f t="shared" si="44"/>
        <v>710.12917533247924</v>
      </c>
      <c r="F143" s="288">
        <f t="shared" si="45"/>
        <v>28.857045143999997</v>
      </c>
      <c r="G143" s="285">
        <f t="shared" si="47"/>
        <v>11.999799579590517</v>
      </c>
      <c r="H143" s="286">
        <f t="shared" si="48"/>
        <v>28.643999999999998</v>
      </c>
      <c r="I143" s="287">
        <f t="shared" si="49"/>
        <v>23.910549544800762</v>
      </c>
      <c r="J143" s="287">
        <f t="shared" si="50"/>
        <v>6.2513768053765961</v>
      </c>
      <c r="K143" s="288">
        <f t="shared" si="51"/>
        <v>0.22059599999999999</v>
      </c>
      <c r="L143" s="285">
        <f t="shared" si="37"/>
        <v>179.99401061333654</v>
      </c>
      <c r="M143" s="286">
        <f t="shared" si="38"/>
        <v>405.2475</v>
      </c>
      <c r="N143" s="287">
        <f t="shared" si="39"/>
        <v>344.67713158973299</v>
      </c>
      <c r="O143" s="287">
        <f t="shared" si="40"/>
        <v>93.73005470709829</v>
      </c>
      <c r="P143" s="288">
        <f t="shared" si="41"/>
        <v>3.3089399999999998</v>
      </c>
    </row>
    <row r="144" spans="1:16" x14ac:dyDescent="0.3">
      <c r="A144" s="276">
        <f t="shared" si="52"/>
        <v>133</v>
      </c>
      <c r="B144" s="285">
        <f t="shared" si="46"/>
        <v>1452.0022127481398</v>
      </c>
      <c r="C144" s="286">
        <f t="shared" si="42"/>
        <v>1919.2565</v>
      </c>
      <c r="D144" s="287">
        <f t="shared" si="43"/>
        <v>1800.9419714566779</v>
      </c>
      <c r="E144" s="287">
        <f t="shared" si="44"/>
        <v>716.38068488500721</v>
      </c>
      <c r="F144" s="288">
        <f t="shared" si="45"/>
        <v>29.077641143999998</v>
      </c>
      <c r="G144" s="285">
        <f t="shared" si="47"/>
        <v>11.999815604321677</v>
      </c>
      <c r="H144" s="286">
        <f t="shared" si="48"/>
        <v>28.861000000000001</v>
      </c>
      <c r="I144" s="287">
        <f t="shared" si="49"/>
        <v>24.030909939521816</v>
      </c>
      <c r="J144" s="287">
        <f t="shared" si="50"/>
        <v>6.2516399305776851</v>
      </c>
      <c r="K144" s="288">
        <f t="shared" si="51"/>
        <v>0.22059599999999999</v>
      </c>
      <c r="L144" s="285">
        <f t="shared" si="37"/>
        <v>179.99448949825324</v>
      </c>
      <c r="M144" s="286">
        <f t="shared" si="38"/>
        <v>408.5025</v>
      </c>
      <c r="N144" s="287">
        <f t="shared" si="39"/>
        <v>346.56316653431577</v>
      </c>
      <c r="O144" s="287">
        <f t="shared" si="40"/>
        <v>93.736136659378829</v>
      </c>
      <c r="P144" s="288">
        <f t="shared" si="41"/>
        <v>3.3089399999999998</v>
      </c>
    </row>
    <row r="145" spans="1:16" x14ac:dyDescent="0.3">
      <c r="A145" s="276">
        <f t="shared" si="52"/>
        <v>134</v>
      </c>
      <c r="B145" s="285">
        <f t="shared" si="46"/>
        <v>1464.002035826567</v>
      </c>
      <c r="C145" s="286">
        <f t="shared" si="42"/>
        <v>1948.2259999999999</v>
      </c>
      <c r="D145" s="287">
        <f t="shared" si="43"/>
        <v>1825.0327722105853</v>
      </c>
      <c r="E145" s="287">
        <f t="shared" si="44"/>
        <v>722.6324505813725</v>
      </c>
      <c r="F145" s="288">
        <f t="shared" si="45"/>
        <v>29.298237143999994</v>
      </c>
      <c r="G145" s="285">
        <f t="shared" si="47"/>
        <v>11.999830347786077</v>
      </c>
      <c r="H145" s="286">
        <f t="shared" si="48"/>
        <v>29.077999999999999</v>
      </c>
      <c r="I145" s="287">
        <f t="shared" si="49"/>
        <v>24.150576216248783</v>
      </c>
      <c r="J145" s="287">
        <f t="shared" si="50"/>
        <v>6.251889217646009</v>
      </c>
      <c r="K145" s="288">
        <f t="shared" si="51"/>
        <v>0.22059599999999999</v>
      </c>
      <c r="L145" s="285">
        <f t="shared" si="37"/>
        <v>179.99493009364608</v>
      </c>
      <c r="M145" s="286">
        <f t="shared" si="38"/>
        <v>411.75749999999999</v>
      </c>
      <c r="N145" s="287">
        <f t="shared" si="39"/>
        <v>348.43832472167668</v>
      </c>
      <c r="O145" s="287">
        <f t="shared" si="40"/>
        <v>93.741898753041568</v>
      </c>
      <c r="P145" s="288">
        <f t="shared" si="41"/>
        <v>3.3089399999999998</v>
      </c>
    </row>
    <row r="146" spans="1:16" x14ac:dyDescent="0.3">
      <c r="A146" s="276">
        <f t="shared" si="52"/>
        <v>135</v>
      </c>
      <c r="B146" s="285">
        <f t="shared" si="46"/>
        <v>1476.0018730508623</v>
      </c>
      <c r="C146" s="286">
        <f t="shared" si="42"/>
        <v>1977.4124999999999</v>
      </c>
      <c r="D146" s="287">
        <f t="shared" si="43"/>
        <v>1849.2428938510925</v>
      </c>
      <c r="E146" s="287">
        <f t="shared" si="44"/>
        <v>728.88445895060249</v>
      </c>
      <c r="F146" s="288">
        <f t="shared" si="45"/>
        <v>29.518833143999995</v>
      </c>
      <c r="G146" s="285">
        <f t="shared" si="47"/>
        <v>11.999843912428151</v>
      </c>
      <c r="H146" s="286">
        <f t="shared" si="48"/>
        <v>29.294999999999998</v>
      </c>
      <c r="I146" s="287">
        <f t="shared" si="49"/>
        <v>24.269552377957819</v>
      </c>
      <c r="J146" s="287">
        <f t="shared" si="50"/>
        <v>6.252125394348873</v>
      </c>
      <c r="K146" s="288">
        <f t="shared" si="51"/>
        <v>0.22059599999999999</v>
      </c>
      <c r="L146" s="285">
        <f t="shared" si="37"/>
        <v>179.99533546097638</v>
      </c>
      <c r="M146" s="286">
        <f t="shared" si="38"/>
        <v>415.01249999999999</v>
      </c>
      <c r="N146" s="287">
        <f t="shared" si="39"/>
        <v>350.30266887803828</v>
      </c>
      <c r="O146" s="287">
        <f t="shared" si="40"/>
        <v>93.747357809911236</v>
      </c>
      <c r="P146" s="288">
        <f t="shared" si="41"/>
        <v>3.3089399999999998</v>
      </c>
    </row>
    <row r="147" spans="1:16" x14ac:dyDescent="0.3">
      <c r="A147" s="276">
        <f t="shared" si="52"/>
        <v>136</v>
      </c>
      <c r="B147" s="285">
        <f t="shared" si="46"/>
        <v>1488.0017232899841</v>
      </c>
      <c r="C147" s="286">
        <f t="shared" si="42"/>
        <v>2006.816</v>
      </c>
      <c r="D147" s="287">
        <f t="shared" si="43"/>
        <v>1873.5716482550474</v>
      </c>
      <c r="E147" s="287">
        <f t="shared" si="44"/>
        <v>735.13669723018211</v>
      </c>
      <c r="F147" s="288">
        <f t="shared" si="45"/>
        <v>29.739429143999995</v>
      </c>
      <c r="G147" s="285">
        <f t="shared" si="47"/>
        <v>11.999856392501327</v>
      </c>
      <c r="H147" s="286">
        <f t="shared" si="48"/>
        <v>29.512</v>
      </c>
      <c r="I147" s="287">
        <f t="shared" si="49"/>
        <v>24.387842404539924</v>
      </c>
      <c r="J147" s="287">
        <f t="shared" si="50"/>
        <v>6.2523491501792519</v>
      </c>
      <c r="K147" s="288">
        <f t="shared" si="51"/>
        <v>0.22059599999999999</v>
      </c>
      <c r="L147" s="285">
        <f t="shared" si="37"/>
        <v>179.99570841692451</v>
      </c>
      <c r="M147" s="286">
        <f t="shared" si="38"/>
        <v>418.26749999999998</v>
      </c>
      <c r="N147" s="287">
        <f t="shared" si="39"/>
        <v>352.1562613678812</v>
      </c>
      <c r="O147" s="287">
        <f t="shared" si="40"/>
        <v>93.752529767128664</v>
      </c>
      <c r="P147" s="288">
        <f t="shared" si="41"/>
        <v>3.3089399999999998</v>
      </c>
    </row>
    <row r="148" spans="1:16" x14ac:dyDescent="0.3">
      <c r="A148" s="276">
        <f t="shared" si="52"/>
        <v>137</v>
      </c>
      <c r="B148" s="285">
        <f t="shared" si="46"/>
        <v>1500.0015855033246</v>
      </c>
      <c r="C148" s="286">
        <f t="shared" si="42"/>
        <v>2036.4365</v>
      </c>
      <c r="D148" s="287">
        <f t="shared" si="43"/>
        <v>1898.0183512676963</v>
      </c>
      <c r="E148" s="287">
        <f t="shared" si="44"/>
        <v>741.3891533287956</v>
      </c>
      <c r="F148" s="288">
        <f t="shared" si="45"/>
        <v>29.960025143999999</v>
      </c>
      <c r="G148" s="285">
        <f t="shared" si="47"/>
        <v>11.999867874722948</v>
      </c>
      <c r="H148" s="286">
        <f t="shared" si="48"/>
        <v>29.728999999999999</v>
      </c>
      <c r="I148" s="287">
        <f t="shared" si="49"/>
        <v>24.505450252934086</v>
      </c>
      <c r="J148" s="287">
        <f t="shared" si="50"/>
        <v>6.2525611383686943</v>
      </c>
      <c r="K148" s="288">
        <f t="shared" si="51"/>
        <v>0.22059599999999999</v>
      </c>
      <c r="L148" s="285">
        <f t="shared" si="37"/>
        <v>179.99605155296146</v>
      </c>
      <c r="M148" s="286">
        <f t="shared" si="38"/>
        <v>421.52249999999998</v>
      </c>
      <c r="N148" s="287">
        <f t="shared" si="39"/>
        <v>353.99916419603034</v>
      </c>
      <c r="O148" s="287">
        <f t="shared" si="40"/>
        <v>93.757429723677433</v>
      </c>
      <c r="P148" s="288">
        <f t="shared" si="41"/>
        <v>3.3089399999999998</v>
      </c>
    </row>
    <row r="149" spans="1:16" x14ac:dyDescent="0.3">
      <c r="A149" s="276">
        <f t="shared" si="52"/>
        <v>138</v>
      </c>
      <c r="B149" s="285">
        <f t="shared" si="46"/>
        <v>1512.0014587334781</v>
      </c>
      <c r="C149" s="286">
        <f t="shared" si="42"/>
        <v>2066.2739999999999</v>
      </c>
      <c r="D149" s="287">
        <f t="shared" si="43"/>
        <v>1922.5823226798107</v>
      </c>
      <c r="E149" s="287">
        <f t="shared" si="44"/>
        <v>747.64181579102649</v>
      </c>
      <c r="F149" s="288">
        <f t="shared" si="45"/>
        <v>30.180621144</v>
      </c>
      <c r="G149" s="285">
        <f t="shared" si="47"/>
        <v>11.999878438876816</v>
      </c>
      <c r="H149" s="286">
        <f t="shared" si="48"/>
        <v>29.946000000000002</v>
      </c>
      <c r="I149" s="287">
        <f t="shared" si="49"/>
        <v>24.622379857259627</v>
      </c>
      <c r="J149" s="287">
        <f t="shared" si="50"/>
        <v>6.2527619777943615</v>
      </c>
      <c r="K149" s="288">
        <f t="shared" si="51"/>
        <v>0.22059599999999999</v>
      </c>
      <c r="L149" s="285">
        <f t="shared" si="37"/>
        <v>179.99636725335574</v>
      </c>
      <c r="M149" s="286">
        <f t="shared" si="38"/>
        <v>424.77749999999997</v>
      </c>
      <c r="N149" s="287">
        <f t="shared" si="39"/>
        <v>355.83143900972891</v>
      </c>
      <c r="O149" s="287">
        <f t="shared" si="40"/>
        <v>93.762071984463958</v>
      </c>
      <c r="P149" s="288">
        <f t="shared" si="41"/>
        <v>3.3089399999999998</v>
      </c>
    </row>
    <row r="150" spans="1:16" x14ac:dyDescent="0.3">
      <c r="A150" s="276">
        <f t="shared" si="52"/>
        <v>139</v>
      </c>
      <c r="B150" s="285">
        <f t="shared" si="46"/>
        <v>1524.001342099589</v>
      </c>
      <c r="C150" s="286">
        <f t="shared" si="42"/>
        <v>2096.3285000000001</v>
      </c>
      <c r="D150" s="287">
        <f t="shared" si="43"/>
        <v>1947.2628862049212</v>
      </c>
      <c r="E150" s="287">
        <f t="shared" si="44"/>
        <v>753.89467376391542</v>
      </c>
      <c r="F150" s="288">
        <f t="shared" si="45"/>
        <v>30.401217143999997</v>
      </c>
      <c r="G150" s="285">
        <f t="shared" si="47"/>
        <v>11.999888158367579</v>
      </c>
      <c r="H150" s="286">
        <f t="shared" si="48"/>
        <v>30.163</v>
      </c>
      <c r="I150" s="287">
        <f t="shared" si="49"/>
        <v>24.738635128947827</v>
      </c>
      <c r="J150" s="287">
        <f t="shared" si="50"/>
        <v>6.252952254785777</v>
      </c>
      <c r="K150" s="288">
        <f t="shared" si="51"/>
        <v>0.22059599999999999</v>
      </c>
      <c r="L150" s="285">
        <f t="shared" si="37"/>
        <v>179.9966577117402</v>
      </c>
      <c r="M150" s="286">
        <f t="shared" si="38"/>
        <v>428.03249999999997</v>
      </c>
      <c r="N150" s="287">
        <f t="shared" si="39"/>
        <v>357.65314710070083</v>
      </c>
      <c r="O150" s="287">
        <f t="shared" si="40"/>
        <v>93.766470102078983</v>
      </c>
      <c r="P150" s="288">
        <f t="shared" si="41"/>
        <v>3.3089399999999998</v>
      </c>
    </row>
    <row r="151" spans="1:16" x14ac:dyDescent="0.3">
      <c r="A151" s="276">
        <f t="shared" si="52"/>
        <v>140</v>
      </c>
      <c r="B151" s="285">
        <f t="shared" si="46"/>
        <v>1536.0012347912307</v>
      </c>
      <c r="C151" s="286">
        <f t="shared" si="42"/>
        <v>2126.6</v>
      </c>
      <c r="D151" s="287">
        <f t="shared" si="43"/>
        <v>1972.059369456701</v>
      </c>
      <c r="E151" s="287">
        <f t="shared" si="44"/>
        <v>760.14771696527555</v>
      </c>
      <c r="F151" s="288">
        <f t="shared" si="45"/>
        <v>30.621813143999997</v>
      </c>
      <c r="G151" s="285">
        <f t="shared" si="47"/>
        <v>11.999897100730768</v>
      </c>
      <c r="H151" s="286">
        <f t="shared" si="48"/>
        <v>30.38</v>
      </c>
      <c r="I151" s="287">
        <f t="shared" si="49"/>
        <v>24.854219956872754</v>
      </c>
      <c r="J151" s="287">
        <f t="shared" si="50"/>
        <v>6.2531325248365466</v>
      </c>
      <c r="K151" s="288">
        <f t="shared" si="51"/>
        <v>0.22059599999999999</v>
      </c>
      <c r="L151" s="285">
        <f t="shared" si="37"/>
        <v>179.99692494635448</v>
      </c>
      <c r="M151" s="286">
        <f t="shared" si="38"/>
        <v>431.28750000000002</v>
      </c>
      <c r="N151" s="287">
        <f t="shared" si="39"/>
        <v>359.4643494072007</v>
      </c>
      <c r="O151" s="287">
        <f t="shared" si="40"/>
        <v>93.770636916363031</v>
      </c>
      <c r="P151" s="288">
        <f t="shared" si="41"/>
        <v>3.3089399999999998</v>
      </c>
    </row>
    <row r="152" spans="1:16" x14ac:dyDescent="0.3">
      <c r="A152" s="276">
        <f t="shared" si="52"/>
        <v>141</v>
      </c>
      <c r="B152" s="285">
        <f t="shared" si="46"/>
        <v>1548.001136062775</v>
      </c>
      <c r="C152" s="286">
        <f t="shared" si="42"/>
        <v>2157.0885000000003</v>
      </c>
      <c r="D152" s="287">
        <f t="shared" si="43"/>
        <v>1996.9711039264755</v>
      </c>
      <c r="E152" s="287">
        <f t="shared" si="44"/>
        <v>766.40093565367556</v>
      </c>
      <c r="F152" s="288">
        <f t="shared" si="45"/>
        <v>30.842409143999998</v>
      </c>
      <c r="G152" s="285">
        <f t="shared" si="47"/>
        <v>11.999905328102074</v>
      </c>
      <c r="H152" s="286">
        <f t="shared" si="48"/>
        <v>30.597000000000001</v>
      </c>
      <c r="I152" s="287">
        <f t="shared" si="49"/>
        <v>24.969138207481347</v>
      </c>
      <c r="J152" s="287">
        <f t="shared" si="50"/>
        <v>6.2533033142260734</v>
      </c>
      <c r="K152" s="288">
        <f t="shared" si="51"/>
        <v>0.22059599999999999</v>
      </c>
      <c r="L152" s="285">
        <f t="shared" si="37"/>
        <v>179.99717081406877</v>
      </c>
      <c r="M152" s="286">
        <f t="shared" si="38"/>
        <v>434.54250000000002</v>
      </c>
      <c r="N152" s="287">
        <f t="shared" si="39"/>
        <v>361.26510651605224</v>
      </c>
      <c r="O152" s="287">
        <f t="shared" si="40"/>
        <v>93.774584591890985</v>
      </c>
      <c r="P152" s="288">
        <f t="shared" si="41"/>
        <v>3.3089399999999998</v>
      </c>
    </row>
    <row r="153" spans="1:16" x14ac:dyDescent="0.3">
      <c r="A153" s="276">
        <f t="shared" si="52"/>
        <v>142</v>
      </c>
      <c r="B153" s="285">
        <f t="shared" si="46"/>
        <v>1560.0010452282108</v>
      </c>
      <c r="C153" s="286">
        <f t="shared" si="42"/>
        <v>2187.7939999999999</v>
      </c>
      <c r="D153" s="287">
        <f t="shared" si="43"/>
        <v>2021.9974249608536</v>
      </c>
      <c r="E153" s="287">
        <f t="shared" si="44"/>
        <v>772.6543205999991</v>
      </c>
      <c r="F153" s="288">
        <f t="shared" si="45"/>
        <v>31.063005143999995</v>
      </c>
      <c r="G153" s="285">
        <f t="shared" si="47"/>
        <v>11.999912897649091</v>
      </c>
      <c r="H153" s="286">
        <f t="shared" si="48"/>
        <v>30.814</v>
      </c>
      <c r="I153" s="287">
        <f t="shared" si="49"/>
        <v>25.083393724922761</v>
      </c>
      <c r="J153" s="287">
        <f t="shared" si="50"/>
        <v>6.2534651215559673</v>
      </c>
      <c r="K153" s="288">
        <f t="shared" si="51"/>
        <v>0.22059599999999999</v>
      </c>
      <c r="L153" s="285">
        <f t="shared" si="37"/>
        <v>179.997397023286</v>
      </c>
      <c r="M153" s="286">
        <f t="shared" si="38"/>
        <v>437.79750000000001</v>
      </c>
      <c r="N153" s="287">
        <f t="shared" si="39"/>
        <v>363.05547866467572</v>
      </c>
      <c r="O153" s="287">
        <f t="shared" si="40"/>
        <v>93.778324653485157</v>
      </c>
      <c r="P153" s="288">
        <f t="shared" si="41"/>
        <v>3.3089399999999998</v>
      </c>
    </row>
    <row r="154" spans="1:16" x14ac:dyDescent="0.3">
      <c r="A154" s="276">
        <f t="shared" si="52"/>
        <v>143</v>
      </c>
      <c r="B154" s="285">
        <f t="shared" si="46"/>
        <v>1572.0009616563775</v>
      </c>
      <c r="C154" s="286">
        <f t="shared" si="42"/>
        <v>2218.7165</v>
      </c>
      <c r="D154" s="287">
        <f t="shared" si="43"/>
        <v>2047.1376717395033</v>
      </c>
      <c r="E154" s="287">
        <f t="shared" si="44"/>
        <v>778.90786306050325</v>
      </c>
      <c r="F154" s="288">
        <f t="shared" si="45"/>
        <v>31.283601143999995</v>
      </c>
      <c r="G154" s="285">
        <f t="shared" si="47"/>
        <v>11.999919861968545</v>
      </c>
      <c r="H154" s="286">
        <f t="shared" si="48"/>
        <v>31.030999999999999</v>
      </c>
      <c r="I154" s="287">
        <f t="shared" si="49"/>
        <v>25.196990331176963</v>
      </c>
      <c r="J154" s="287">
        <f t="shared" si="50"/>
        <v>6.2536184192056625</v>
      </c>
      <c r="K154" s="288">
        <f t="shared" si="51"/>
        <v>0.22059599999999999</v>
      </c>
      <c r="L154" s="285">
        <f t="shared" si="37"/>
        <v>179.99760514581288</v>
      </c>
      <c r="M154" s="286">
        <f t="shared" si="38"/>
        <v>441.05250000000001</v>
      </c>
      <c r="N154" s="287">
        <f t="shared" si="39"/>
        <v>364.83552574310187</v>
      </c>
      <c r="O154" s="287">
        <f t="shared" si="40"/>
        <v>93.781868019860966</v>
      </c>
      <c r="P154" s="288">
        <f t="shared" si="41"/>
        <v>3.3089399999999998</v>
      </c>
    </row>
    <row r="155" spans="1:16" x14ac:dyDescent="0.3">
      <c r="A155" s="276">
        <f t="shared" si="52"/>
        <v>144</v>
      </c>
      <c r="B155" s="285">
        <f t="shared" si="46"/>
        <v>1584.0008847665788</v>
      </c>
      <c r="C155" s="286">
        <f t="shared" si="42"/>
        <v>2249.8560000000002</v>
      </c>
      <c r="D155" s="287">
        <f t="shared" si="43"/>
        <v>2072.3911872530362</v>
      </c>
      <c r="E155" s="287">
        <f t="shared" si="44"/>
        <v>785.16155475129062</v>
      </c>
      <c r="F155" s="288">
        <f t="shared" si="45"/>
        <v>31.504197143999995</v>
      </c>
      <c r="G155" s="285">
        <f t="shared" si="47"/>
        <v>11.999926269451759</v>
      </c>
      <c r="H155" s="286">
        <f t="shared" si="48"/>
        <v>31.248000000000001</v>
      </c>
      <c r="I155" s="287">
        <f t="shared" si="49"/>
        <v>25.309931826182556</v>
      </c>
      <c r="J155" s="287">
        <f t="shared" si="50"/>
        <v>6.2537636547114808</v>
      </c>
      <c r="K155" s="288">
        <f t="shared" si="51"/>
        <v>0.22059599999999999</v>
      </c>
      <c r="L155" s="285">
        <f t="shared" ref="L155:L211" si="53">12*15-12*12*EXP(-A155/12)*(EXP(15/12)-1)</f>
        <v>179.9977966277813</v>
      </c>
      <c r="M155" s="286">
        <f t="shared" ref="M155:M211" si="54">0.217*(15*A155-15*15/2)</f>
        <v>444.3075</v>
      </c>
      <c r="N155" s="287">
        <f t="shared" ref="N155:N211" si="55">0.259*(172.9*15-172.9*172.9*EXP(-A155/172.9)*(EXP(15/172.9)-1))</f>
        <v>366.60530729597605</v>
      </c>
      <c r="O155" s="287">
        <f t="shared" ref="O155:O211" si="56">0.338*(18.51*15-18.51*18.51*EXP(-A155/18.51)*(EXP(15/18.51)-1))</f>
        <v>93.785225035502805</v>
      </c>
      <c r="P155" s="288">
        <f t="shared" ref="P155:P211" si="57">0.186*(1.186*15-1.186*1.186*EXP(-A155/1.186)*(EXP(15/1.186)-1))</f>
        <v>3.3089399999999998</v>
      </c>
    </row>
    <row r="156" spans="1:16" x14ac:dyDescent="0.3">
      <c r="A156" s="276">
        <f t="shared" si="52"/>
        <v>145</v>
      </c>
      <c r="B156" s="285">
        <f t="shared" si="46"/>
        <v>1596.0008140245491</v>
      </c>
      <c r="C156" s="286">
        <f t="shared" si="42"/>
        <v>2281.2125000000001</v>
      </c>
      <c r="D156" s="287">
        <f t="shared" si="43"/>
        <v>2097.7573182810356</v>
      </c>
      <c r="E156" s="287">
        <f t="shared" si="44"/>
        <v>791.4153878241259</v>
      </c>
      <c r="F156" s="288">
        <f t="shared" si="45"/>
        <v>31.724793144</v>
      </c>
      <c r="G156" s="285">
        <f t="shared" si="47"/>
        <v>11.999932164620905</v>
      </c>
      <c r="H156" s="286">
        <f t="shared" si="48"/>
        <v>31.465</v>
      </c>
      <c r="I156" s="287">
        <f t="shared" si="49"/>
        <v>25.42222198796393</v>
      </c>
      <c r="J156" s="287">
        <f t="shared" si="50"/>
        <v>6.2539012520731614</v>
      </c>
      <c r="K156" s="288">
        <f t="shared" si="51"/>
        <v>0.22059599999999999</v>
      </c>
      <c r="L156" s="285">
        <f t="shared" si="53"/>
        <v>179.99797279969684</v>
      </c>
      <c r="M156" s="286">
        <f t="shared" si="54"/>
        <v>447.5625</v>
      </c>
      <c r="N156" s="287">
        <f t="shared" si="55"/>
        <v>368.3648825245499</v>
      </c>
      <c r="O156" s="287">
        <f t="shared" si="56"/>
        <v>93.788405500863831</v>
      </c>
      <c r="P156" s="288">
        <f t="shared" si="57"/>
        <v>3.3089399999999998</v>
      </c>
    </row>
    <row r="157" spans="1:16" x14ac:dyDescent="0.3">
      <c r="A157" s="276">
        <f t="shared" si="52"/>
        <v>146</v>
      </c>
      <c r="B157" s="285">
        <f t="shared" si="46"/>
        <v>1608.0007489387399</v>
      </c>
      <c r="C157" s="286">
        <f t="shared" si="42"/>
        <v>2312.7860000000001</v>
      </c>
      <c r="D157" s="287">
        <f t="shared" si="43"/>
        <v>2123.2354153702086</v>
      </c>
      <c r="E157" s="287">
        <f t="shared" si="44"/>
        <v>797.66935484352382</v>
      </c>
      <c r="F157" s="288">
        <f t="shared" si="45"/>
        <v>31.945389144</v>
      </c>
      <c r="G157" s="285">
        <f t="shared" si="47"/>
        <v>11.99993758843835</v>
      </c>
      <c r="H157" s="286">
        <f t="shared" si="48"/>
        <v>31.681999999999999</v>
      </c>
      <c r="I157" s="287">
        <f t="shared" si="49"/>
        <v>25.533864572757615</v>
      </c>
      <c r="J157" s="287">
        <f t="shared" si="50"/>
        <v>6.2540316129916933</v>
      </c>
      <c r="K157" s="288">
        <f t="shared" si="51"/>
        <v>0.22059599999999999</v>
      </c>
      <c r="L157" s="285">
        <f t="shared" si="53"/>
        <v>179.99813488568373</v>
      </c>
      <c r="M157" s="286">
        <f t="shared" si="54"/>
        <v>450.8175</v>
      </c>
      <c r="N157" s="287">
        <f t="shared" si="55"/>
        <v>370.11431028866133</v>
      </c>
      <c r="O157" s="287">
        <f t="shared" si="56"/>
        <v>93.791418700977204</v>
      </c>
      <c r="P157" s="288">
        <f t="shared" si="57"/>
        <v>3.3089399999999998</v>
      </c>
    </row>
    <row r="158" spans="1:16" x14ac:dyDescent="0.3">
      <c r="A158" s="276">
        <f t="shared" si="52"/>
        <v>147</v>
      </c>
      <c r="B158" s="285">
        <f t="shared" si="46"/>
        <v>1620.0006890569045</v>
      </c>
      <c r="C158" s="286">
        <f t="shared" si="42"/>
        <v>2344.5765000000001</v>
      </c>
      <c r="D158" s="287">
        <f t="shared" si="43"/>
        <v>2148.8248328126519</v>
      </c>
      <c r="E158" s="287">
        <f t="shared" si="44"/>
        <v>803.92344876504217</v>
      </c>
      <c r="F158" s="288">
        <f t="shared" si="45"/>
        <v>32.165985143999997</v>
      </c>
      <c r="G158" s="285">
        <f t="shared" si="47"/>
        <v>11.999942578591295</v>
      </c>
      <c r="H158" s="286">
        <f t="shared" si="48"/>
        <v>31.899000000000001</v>
      </c>
      <c r="I158" s="287">
        <f t="shared" si="49"/>
        <v>25.644863315137925</v>
      </c>
      <c r="J158" s="287">
        <f t="shared" si="50"/>
        <v>6.2541551180420276</v>
      </c>
      <c r="K158" s="288">
        <f t="shared" si="51"/>
        <v>0.22059599999999999</v>
      </c>
      <c r="L158" s="285">
        <f t="shared" si="53"/>
        <v>179.99828401199068</v>
      </c>
      <c r="M158" s="286">
        <f t="shared" si="54"/>
        <v>454.07249999999999</v>
      </c>
      <c r="N158" s="287">
        <f t="shared" si="55"/>
        <v>371.85364910870419</v>
      </c>
      <c r="O158" s="287">
        <f t="shared" si="56"/>
        <v>93.794273432562903</v>
      </c>
      <c r="P158" s="288">
        <f t="shared" si="57"/>
        <v>3.3089399999999998</v>
      </c>
    </row>
    <row r="159" spans="1:16" x14ac:dyDescent="0.3">
      <c r="A159" s="276">
        <f t="shared" si="52"/>
        <v>148</v>
      </c>
      <c r="B159" s="285">
        <f t="shared" si="46"/>
        <v>1632.0006339629563</v>
      </c>
      <c r="C159" s="286">
        <f t="shared" si="42"/>
        <v>2376.5839999999998</v>
      </c>
      <c r="D159" s="287">
        <f t="shared" si="43"/>
        <v>2174.5249286242629</v>
      </c>
      <c r="E159" s="287">
        <f t="shared" si="44"/>
        <v>810.17766291471571</v>
      </c>
      <c r="F159" s="288">
        <f t="shared" si="45"/>
        <v>32.386581143999997</v>
      </c>
      <c r="G159" s="285">
        <f t="shared" si="47"/>
        <v>11.999947169753639</v>
      </c>
      <c r="H159" s="286">
        <f t="shared" si="48"/>
        <v>32.116</v>
      </c>
      <c r="I159" s="287">
        <f t="shared" si="49"/>
        <v>25.755221928141914</v>
      </c>
      <c r="J159" s="287">
        <f t="shared" si="50"/>
        <v>6.2542721277841338</v>
      </c>
      <c r="K159" s="288">
        <f t="shared" si="51"/>
        <v>0.22059599999999999</v>
      </c>
      <c r="L159" s="285">
        <f t="shared" si="53"/>
        <v>179.99842121481646</v>
      </c>
      <c r="M159" s="286">
        <f t="shared" si="54"/>
        <v>457.32749999999999</v>
      </c>
      <c r="N159" s="287">
        <f t="shared" si="55"/>
        <v>373.58295716758511</v>
      </c>
      <c r="O159" s="287">
        <f t="shared" si="56"/>
        <v>93.796978029708669</v>
      </c>
      <c r="P159" s="288">
        <f t="shared" si="57"/>
        <v>3.3089399999999998</v>
      </c>
    </row>
    <row r="160" spans="1:16" x14ac:dyDescent="0.3">
      <c r="A160" s="276">
        <f t="shared" si="52"/>
        <v>149</v>
      </c>
      <c r="B160" s="285">
        <f t="shared" si="46"/>
        <v>1644.0005832740771</v>
      </c>
      <c r="C160" s="286">
        <f t="shared" si="42"/>
        <v>2408.8085000000001</v>
      </c>
      <c r="D160" s="287">
        <f t="shared" si="43"/>
        <v>2200.3350645232558</v>
      </c>
      <c r="E160" s="287">
        <f t="shared" si="44"/>
        <v>816.43199096957312</v>
      </c>
      <c r="F160" s="288">
        <f t="shared" si="45"/>
        <v>32.607177143999998</v>
      </c>
      <c r="G160" s="285">
        <f t="shared" si="47"/>
        <v>11.999951393826914</v>
      </c>
      <c r="H160" s="286">
        <f t="shared" si="48"/>
        <v>32.332999999999998</v>
      </c>
      <c r="I160" s="287">
        <f t="shared" si="49"/>
        <v>25.864944103393547</v>
      </c>
      <c r="J160" s="287">
        <f t="shared" si="50"/>
        <v>6.2543829838156126</v>
      </c>
      <c r="K160" s="288">
        <f t="shared" si="51"/>
        <v>0.22059599999999999</v>
      </c>
      <c r="L160" s="285">
        <f t="shared" si="53"/>
        <v>179.99854744750996</v>
      </c>
      <c r="M160" s="286">
        <f t="shared" si="54"/>
        <v>460.58249999999998</v>
      </c>
      <c r="N160" s="287">
        <f t="shared" si="55"/>
        <v>375.30229231267015</v>
      </c>
      <c r="O160" s="287">
        <f t="shared" si="56"/>
        <v>93.799540388200654</v>
      </c>
      <c r="P160" s="288">
        <f t="shared" si="57"/>
        <v>3.3089399999999998</v>
      </c>
    </row>
    <row r="161" spans="1:16" x14ac:dyDescent="0.3">
      <c r="A161" s="276">
        <f t="shared" si="52"/>
        <v>150</v>
      </c>
      <c r="B161" s="285">
        <f t="shared" si="46"/>
        <v>1656.0005366380567</v>
      </c>
      <c r="C161" s="286">
        <f t="shared" si="42"/>
        <v>2441.25</v>
      </c>
      <c r="D161" s="287">
        <f t="shared" si="43"/>
        <v>2226.2546059088131</v>
      </c>
      <c r="E161" s="287">
        <f t="shared" si="44"/>
        <v>822.68642693917684</v>
      </c>
      <c r="F161" s="288">
        <f t="shared" si="45"/>
        <v>32.827773143999991</v>
      </c>
      <c r="G161" s="285">
        <f t="shared" si="47"/>
        <v>11.999955280161934</v>
      </c>
      <c r="H161" s="286">
        <f t="shared" si="48"/>
        <v>32.549999999999997</v>
      </c>
      <c r="I161" s="287">
        <f t="shared" si="49"/>
        <v>25.974033511227226</v>
      </c>
      <c r="J161" s="287">
        <f t="shared" si="50"/>
        <v>6.2544880097689584</v>
      </c>
      <c r="K161" s="288">
        <f t="shared" si="51"/>
        <v>0.22059599999999999</v>
      </c>
      <c r="L161" s="285">
        <f t="shared" si="53"/>
        <v>179.99866358719459</v>
      </c>
      <c r="M161" s="286">
        <f t="shared" si="54"/>
        <v>463.83749999999998</v>
      </c>
      <c r="N161" s="287">
        <f t="shared" si="55"/>
        <v>377.01171205771999</v>
      </c>
      <c r="O161" s="287">
        <f t="shared" si="56"/>
        <v>93.801967988574233</v>
      </c>
      <c r="P161" s="288">
        <f t="shared" si="57"/>
        <v>3.3089399999999998</v>
      </c>
    </row>
    <row r="162" spans="1:16" x14ac:dyDescent="0.3">
      <c r="A162" s="276">
        <f t="shared" si="52"/>
        <v>151</v>
      </c>
      <c r="B162" s="285">
        <f t="shared" si="46"/>
        <v>1668.0004937308468</v>
      </c>
      <c r="C162" s="286">
        <f t="shared" si="42"/>
        <v>2473.9085</v>
      </c>
      <c r="D162" s="287">
        <f t="shared" si="43"/>
        <v>2252.2829218398606</v>
      </c>
      <c r="E162" s="287">
        <f t="shared" si="44"/>
        <v>828.94096514813498</v>
      </c>
      <c r="F162" s="288">
        <f t="shared" si="45"/>
        <v>33.048369143999999</v>
      </c>
      <c r="G162" s="285">
        <f t="shared" si="47"/>
        <v>11.999958855762765</v>
      </c>
      <c r="H162" s="286">
        <f t="shared" si="48"/>
        <v>32.767000000000003</v>
      </c>
      <c r="I162" s="287">
        <f t="shared" si="49"/>
        <v>26.082493800810525</v>
      </c>
      <c r="J162" s="287">
        <f t="shared" si="50"/>
        <v>6.2545875122563634</v>
      </c>
      <c r="K162" s="288">
        <f t="shared" si="51"/>
        <v>0.22059599999999999</v>
      </c>
      <c r="L162" s="285">
        <f t="shared" si="53"/>
        <v>179.99877044086276</v>
      </c>
      <c r="M162" s="286">
        <f t="shared" si="54"/>
        <v>467.09249999999997</v>
      </c>
      <c r="N162" s="287">
        <f t="shared" si="55"/>
        <v>378.71127358481334</v>
      </c>
      <c r="O162" s="287">
        <f t="shared" si="56"/>
        <v>93.804267917952671</v>
      </c>
      <c r="P162" s="288">
        <f t="shared" si="57"/>
        <v>3.3089399999999998</v>
      </c>
    </row>
    <row r="163" spans="1:16" x14ac:dyDescent="0.3">
      <c r="A163" s="276">
        <f t="shared" si="52"/>
        <v>152</v>
      </c>
      <c r="B163" s="285">
        <f t="shared" si="46"/>
        <v>1680.0004542543079</v>
      </c>
      <c r="C163" s="286">
        <f t="shared" si="42"/>
        <v>2506.7840000000001</v>
      </c>
      <c r="D163" s="287">
        <f t="shared" si="43"/>
        <v>2278.4193850139573</v>
      </c>
      <c r="E163" s="287">
        <f t="shared" si="44"/>
        <v>835.19560021953293</v>
      </c>
      <c r="F163" s="288">
        <f t="shared" si="45"/>
        <v>33.268965143999999</v>
      </c>
      <c r="G163" s="285">
        <f t="shared" si="47"/>
        <v>11.999962145474338</v>
      </c>
      <c r="H163" s="286">
        <f t="shared" si="48"/>
        <v>32.984000000000002</v>
      </c>
      <c r="I163" s="287">
        <f t="shared" si="49"/>
        <v>26.190328600266295</v>
      </c>
      <c r="J163" s="287">
        <f t="shared" si="50"/>
        <v>6.2546817817648463</v>
      </c>
      <c r="K163" s="288">
        <f t="shared" si="51"/>
        <v>0.22059599999999999</v>
      </c>
      <c r="L163" s="285">
        <f t="shared" si="53"/>
        <v>179.99886875098332</v>
      </c>
      <c r="M163" s="286">
        <f t="shared" si="54"/>
        <v>470.34750000000003</v>
      </c>
      <c r="N163" s="287">
        <f t="shared" si="55"/>
        <v>380.40103374626028</v>
      </c>
      <c r="O163" s="287">
        <f t="shared" si="56"/>
        <v>93.806446890737234</v>
      </c>
      <c r="P163" s="288">
        <f t="shared" si="57"/>
        <v>3.3089399999999998</v>
      </c>
    </row>
    <row r="164" spans="1:16" x14ac:dyDescent="0.3">
      <c r="A164" s="276">
        <f t="shared" si="52"/>
        <v>153</v>
      </c>
      <c r="B164" s="285">
        <f t="shared" si="46"/>
        <v>1692.0004179341388</v>
      </c>
      <c r="C164" s="286">
        <f t="shared" si="42"/>
        <v>2539.8764999999999</v>
      </c>
      <c r="D164" s="287">
        <f t="shared" si="43"/>
        <v>2304.6633717463155</v>
      </c>
      <c r="E164" s="287">
        <f t="shared" si="44"/>
        <v>841.45032705923552</v>
      </c>
      <c r="F164" s="288">
        <f t="shared" si="45"/>
        <v>33.489561144</v>
      </c>
      <c r="G164" s="285">
        <f t="shared" si="47"/>
        <v>11.999965172155097</v>
      </c>
      <c r="H164" s="286">
        <f t="shared" si="48"/>
        <v>33.201000000000001</v>
      </c>
      <c r="I164" s="287">
        <f t="shared" si="49"/>
        <v>26.297541516794013</v>
      </c>
      <c r="J164" s="287">
        <f t="shared" si="50"/>
        <v>6.2547710935042957</v>
      </c>
      <c r="K164" s="288">
        <f t="shared" si="51"/>
        <v>0.22059599999999999</v>
      </c>
      <c r="L164" s="285">
        <f t="shared" si="53"/>
        <v>179.99895920066064</v>
      </c>
      <c r="M164" s="286">
        <f t="shared" si="54"/>
        <v>473.60250000000002</v>
      </c>
      <c r="N164" s="287">
        <f t="shared" si="55"/>
        <v>382.08104906650362</v>
      </c>
      <c r="O164" s="287">
        <f t="shared" si="56"/>
        <v>93.808511268209159</v>
      </c>
      <c r="P164" s="288">
        <f t="shared" si="57"/>
        <v>3.3089399999999998</v>
      </c>
    </row>
    <row r="165" spans="1:16" x14ac:dyDescent="0.3">
      <c r="A165" s="276">
        <f t="shared" si="52"/>
        <v>154</v>
      </c>
      <c r="B165" s="285">
        <f t="shared" si="46"/>
        <v>1704.0003845179701</v>
      </c>
      <c r="C165" s="286">
        <f t="shared" si="42"/>
        <v>2573.1860000000001</v>
      </c>
      <c r="D165" s="287">
        <f t="shared" si="43"/>
        <v>2331.0142619489316</v>
      </c>
      <c r="E165" s="287">
        <f t="shared" si="44"/>
        <v>847.70514084101615</v>
      </c>
      <c r="F165" s="288">
        <f t="shared" si="45"/>
        <v>33.710157144</v>
      </c>
      <c r="G165" s="285">
        <f t="shared" si="47"/>
        <v>11.999967956835823</v>
      </c>
      <c r="H165" s="286">
        <f t="shared" si="48"/>
        <v>33.417999999999999</v>
      </c>
      <c r="I165" s="287">
        <f t="shared" si="49"/>
        <v>26.404136136790445</v>
      </c>
      <c r="J165" s="287">
        <f t="shared" si="50"/>
        <v>6.2548557082109149</v>
      </c>
      <c r="K165" s="288">
        <f t="shared" si="51"/>
        <v>0.22059599999999999</v>
      </c>
      <c r="L165" s="285">
        <f t="shared" si="53"/>
        <v>179.99904241838107</v>
      </c>
      <c r="M165" s="286">
        <f t="shared" si="54"/>
        <v>476.85750000000002</v>
      </c>
      <c r="N165" s="287">
        <f t="shared" si="55"/>
        <v>383.75137574401026</v>
      </c>
      <c r="O165" s="287">
        <f t="shared" si="56"/>
        <v>93.810467077100711</v>
      </c>
      <c r="P165" s="288">
        <f t="shared" si="57"/>
        <v>3.3089399999999998</v>
      </c>
    </row>
    <row r="166" spans="1:16" x14ac:dyDescent="0.3">
      <c r="A166" s="276">
        <f t="shared" si="52"/>
        <v>155</v>
      </c>
      <c r="B166" s="285">
        <f t="shared" si="46"/>
        <v>1716.0003537736106</v>
      </c>
      <c r="C166" s="286">
        <f t="shared" si="42"/>
        <v>2606.7124999999996</v>
      </c>
      <c r="D166" s="287">
        <f t="shared" si="43"/>
        <v>2357.4714391098519</v>
      </c>
      <c r="E166" s="287">
        <f t="shared" si="44"/>
        <v>853.96003699246546</v>
      </c>
      <c r="F166" s="288">
        <f t="shared" si="45"/>
        <v>33.930753143999993</v>
      </c>
      <c r="G166" s="285">
        <f t="shared" si="47"/>
        <v>11.999970518865771</v>
      </c>
      <c r="H166" s="286">
        <f t="shared" si="48"/>
        <v>33.634999999999998</v>
      </c>
      <c r="I166" s="287">
        <f t="shared" si="49"/>
        <v>26.510116025969623</v>
      </c>
      <c r="J166" s="287">
        <f t="shared" si="50"/>
        <v>6.2549358729084155</v>
      </c>
      <c r="K166" s="288">
        <f t="shared" si="51"/>
        <v>0.22059599999999999</v>
      </c>
      <c r="L166" s="285">
        <f t="shared" si="53"/>
        <v>179.99911898237997</v>
      </c>
      <c r="M166" s="286">
        <f t="shared" si="54"/>
        <v>480.11250000000001</v>
      </c>
      <c r="N166" s="287">
        <f t="shared" si="55"/>
        <v>385.41206965315018</v>
      </c>
      <c r="O166" s="287">
        <f t="shared" si="56"/>
        <v>93.812320027189742</v>
      </c>
      <c r="P166" s="288">
        <f t="shared" si="57"/>
        <v>3.3089399999999998</v>
      </c>
    </row>
    <row r="167" spans="1:16" x14ac:dyDescent="0.3">
      <c r="A167" s="276">
        <f t="shared" si="52"/>
        <v>156</v>
      </c>
      <c r="B167" s="285">
        <f t="shared" si="46"/>
        <v>1728.0003254874346</v>
      </c>
      <c r="C167" s="286">
        <f t="shared" si="42"/>
        <v>2640.4559999999997</v>
      </c>
      <c r="D167" s="287">
        <f t="shared" si="43"/>
        <v>2384.0342902725415</v>
      </c>
      <c r="E167" s="287">
        <f t="shared" si="44"/>
        <v>860.21501118164406</v>
      </c>
      <c r="F167" s="288">
        <f t="shared" si="45"/>
        <v>34.151349143999994</v>
      </c>
      <c r="G167" s="285">
        <f t="shared" si="47"/>
        <v>11.999972876047117</v>
      </c>
      <c r="H167" s="286">
        <f t="shared" si="48"/>
        <v>33.851999999999997</v>
      </c>
      <c r="I167" s="287">
        <f t="shared" si="49"/>
        <v>26.615484729482116</v>
      </c>
      <c r="J167" s="287">
        <f t="shared" si="50"/>
        <v>6.2550118216291777</v>
      </c>
      <c r="K167" s="288">
        <f t="shared" si="51"/>
        <v>0.22059599999999999</v>
      </c>
      <c r="L167" s="285">
        <f t="shared" si="53"/>
        <v>179.99918942465948</v>
      </c>
      <c r="M167" s="286">
        <f t="shared" si="54"/>
        <v>483.36750000000001</v>
      </c>
      <c r="N167" s="287">
        <f t="shared" si="55"/>
        <v>387.06318634606657</v>
      </c>
      <c r="O167" s="287">
        <f t="shared" si="56"/>
        <v>93.814075527968583</v>
      </c>
      <c r="P167" s="288">
        <f t="shared" si="57"/>
        <v>3.3089399999999998</v>
      </c>
    </row>
    <row r="168" spans="1:16" x14ac:dyDescent="0.3">
      <c r="A168" s="276">
        <f t="shared" si="52"/>
        <v>157</v>
      </c>
      <c r="B168" s="285">
        <f t="shared" si="46"/>
        <v>1740.0002994628962</v>
      </c>
      <c r="C168" s="286">
        <f t="shared" si="42"/>
        <v>2674.4165000000003</v>
      </c>
      <c r="D168" s="287">
        <f t="shared" si="43"/>
        <v>2410.7022060153868</v>
      </c>
      <c r="E168" s="287">
        <f t="shared" si="44"/>
        <v>866.47005930443572</v>
      </c>
      <c r="F168" s="288">
        <f t="shared" si="45"/>
        <v>34.371945144000001</v>
      </c>
      <c r="G168" s="285">
        <f t="shared" si="47"/>
        <v>11.999975044758646</v>
      </c>
      <c r="H168" s="286">
        <f t="shared" si="48"/>
        <v>34.069000000000003</v>
      </c>
      <c r="I168" s="287">
        <f t="shared" si="49"/>
        <v>26.720245772033618</v>
      </c>
      <c r="J168" s="287">
        <f t="shared" si="50"/>
        <v>6.2550837760974813</v>
      </c>
      <c r="K168" s="288">
        <f t="shared" si="51"/>
        <v>0.22059599999999999</v>
      </c>
      <c r="L168" s="285">
        <f t="shared" si="53"/>
        <v>179.99925423468534</v>
      </c>
      <c r="M168" s="286">
        <f t="shared" si="54"/>
        <v>486.6225</v>
      </c>
      <c r="N168" s="287">
        <f t="shared" si="55"/>
        <v>388.70478105453338</v>
      </c>
      <c r="O168" s="287">
        <f t="shared" si="56"/>
        <v>93.815738704436612</v>
      </c>
      <c r="P168" s="288">
        <f t="shared" si="57"/>
        <v>3.3089399999999998</v>
      </c>
    </row>
    <row r="169" spans="1:16" x14ac:dyDescent="0.3">
      <c r="A169" s="276">
        <f t="shared" si="52"/>
        <v>158</v>
      </c>
      <c r="B169" s="285">
        <f t="shared" si="46"/>
        <v>1752.0002755191651</v>
      </c>
      <c r="C169" s="286">
        <f t="shared" si="42"/>
        <v>2708.5940000000001</v>
      </c>
      <c r="D169" s="287">
        <f t="shared" si="43"/>
        <v>2437.4745804313065</v>
      </c>
      <c r="E169" s="287">
        <f t="shared" si="44"/>
        <v>872.72517747256552</v>
      </c>
      <c r="F169" s="288">
        <f t="shared" si="45"/>
        <v>34.592541143999995</v>
      </c>
      <c r="G169" s="285">
        <f t="shared" si="47"/>
        <v>11.999977040069577</v>
      </c>
      <c r="H169" s="286">
        <f t="shared" si="48"/>
        <v>34.286000000000001</v>
      </c>
      <c r="I169" s="287">
        <f t="shared" si="49"/>
        <v>26.824402658002853</v>
      </c>
      <c r="J169" s="287">
        <f t="shared" si="50"/>
        <v>6.2551519463768086</v>
      </c>
      <c r="K169" s="288">
        <f t="shared" si="51"/>
        <v>0.22059599999999999</v>
      </c>
      <c r="L169" s="285">
        <f t="shared" si="53"/>
        <v>179.9993138627876</v>
      </c>
      <c r="M169" s="286">
        <f t="shared" si="54"/>
        <v>489.8775</v>
      </c>
      <c r="N169" s="287">
        <f t="shared" si="55"/>
        <v>390.33690869180293</v>
      </c>
      <c r="O169" s="287">
        <f t="shared" si="56"/>
        <v>93.817314412062117</v>
      </c>
      <c r="P169" s="288">
        <f t="shared" si="57"/>
        <v>3.3089399999999998</v>
      </c>
    </row>
    <row r="170" spans="1:16" x14ac:dyDescent="0.3">
      <c r="A170" s="276">
        <f t="shared" si="52"/>
        <v>159</v>
      </c>
      <c r="B170" s="285">
        <f t="shared" si="46"/>
        <v>1764.000253489869</v>
      </c>
      <c r="C170" s="286">
        <f t="shared" si="42"/>
        <v>2742.9884999999999</v>
      </c>
      <c r="D170" s="287">
        <f t="shared" si="43"/>
        <v>2464.3508111074793</v>
      </c>
      <c r="E170" s="287">
        <f t="shared" si="44"/>
        <v>878.98036200224794</v>
      </c>
      <c r="F170" s="288">
        <f t="shared" si="45"/>
        <v>34.813137143999995</v>
      </c>
      <c r="G170" s="285">
        <f t="shared" si="47"/>
        <v>11.999978875844254</v>
      </c>
      <c r="H170" s="286">
        <f t="shared" si="48"/>
        <v>34.503</v>
      </c>
      <c r="I170" s="287">
        <f t="shared" si="49"/>
        <v>26.927958871558822</v>
      </c>
      <c r="J170" s="287">
        <f t="shared" si="50"/>
        <v>6.2552165314831001</v>
      </c>
      <c r="K170" s="288">
        <f t="shared" si="51"/>
        <v>0.22059599999999999</v>
      </c>
      <c r="L170" s="285">
        <f t="shared" si="53"/>
        <v>179.99936872329008</v>
      </c>
      <c r="M170" s="286">
        <f t="shared" si="54"/>
        <v>493.13249999999999</v>
      </c>
      <c r="N170" s="287">
        <f t="shared" si="55"/>
        <v>391.95962385444329</v>
      </c>
      <c r="O170" s="287">
        <f t="shared" si="56"/>
        <v>93.818807250957335</v>
      </c>
      <c r="P170" s="288">
        <f t="shared" si="57"/>
        <v>3.3089399999999998</v>
      </c>
    </row>
    <row r="171" spans="1:16" x14ac:dyDescent="0.3">
      <c r="A171" s="276">
        <f t="shared" si="52"/>
        <v>160</v>
      </c>
      <c r="B171" s="285">
        <f t="shared" si="46"/>
        <v>1776.0002332219381</v>
      </c>
      <c r="C171" s="286">
        <f t="shared" si="42"/>
        <v>2777.6</v>
      </c>
      <c r="D171" s="287">
        <f t="shared" si="43"/>
        <v>2491.3302991052014</v>
      </c>
      <c r="E171" s="287">
        <f t="shared" si="44"/>
        <v>885.23560940343395</v>
      </c>
      <c r="F171" s="288">
        <f t="shared" si="45"/>
        <v>35.033733143999996</v>
      </c>
      <c r="G171" s="285">
        <f t="shared" si="47"/>
        <v>11.999980564838491</v>
      </c>
      <c r="H171" s="286">
        <f t="shared" si="48"/>
        <v>34.72</v>
      </c>
      <c r="I171" s="287">
        <f t="shared" si="49"/>
        <v>27.03091787677732</v>
      </c>
      <c r="J171" s="287">
        <f t="shared" si="50"/>
        <v>6.2552777199657621</v>
      </c>
      <c r="K171" s="288">
        <f t="shared" si="51"/>
        <v>0.22059599999999999</v>
      </c>
      <c r="L171" s="285">
        <f t="shared" si="53"/>
        <v>179.99941919738893</v>
      </c>
      <c r="M171" s="286">
        <f t="shared" si="54"/>
        <v>496.38749999999999</v>
      </c>
      <c r="N171" s="287">
        <f t="shared" si="55"/>
        <v>393.57298082416423</v>
      </c>
      <c r="O171" s="287">
        <f t="shared" si="56"/>
        <v>93.820221579307983</v>
      </c>
      <c r="P171" s="288">
        <f t="shared" si="57"/>
        <v>3.3089399999999998</v>
      </c>
    </row>
    <row r="172" spans="1:16" x14ac:dyDescent="0.3">
      <c r="A172" s="276">
        <f t="shared" si="52"/>
        <v>161</v>
      </c>
      <c r="B172" s="285">
        <f t="shared" si="46"/>
        <v>1788.0002145745416</v>
      </c>
      <c r="C172" s="286">
        <f t="shared" si="42"/>
        <v>2812.4285</v>
      </c>
      <c r="D172" s="287">
        <f t="shared" si="43"/>
        <v>2518.4124489398414</v>
      </c>
      <c r="E172" s="287">
        <f t="shared" si="44"/>
        <v>891.49091636962032</v>
      </c>
      <c r="F172" s="288">
        <f t="shared" si="45"/>
        <v>35.254329143999996</v>
      </c>
      <c r="G172" s="285">
        <f t="shared" si="47"/>
        <v>11.999982118788207</v>
      </c>
      <c r="H172" s="286">
        <f t="shared" si="48"/>
        <v>34.936999999999998</v>
      </c>
      <c r="I172" s="287">
        <f t="shared" si="49"/>
        <v>27.133283117756847</v>
      </c>
      <c r="J172" s="287">
        <f t="shared" si="50"/>
        <v>6.255335690458117</v>
      </c>
      <c r="K172" s="288">
        <f t="shared" si="51"/>
        <v>0.22059599999999999</v>
      </c>
      <c r="L172" s="285">
        <f t="shared" si="53"/>
        <v>179.9994656358017</v>
      </c>
      <c r="M172" s="286">
        <f t="shared" si="54"/>
        <v>499.64249999999998</v>
      </c>
      <c r="N172" s="287">
        <f t="shared" si="55"/>
        <v>395.17703356963307</v>
      </c>
      <c r="O172" s="287">
        <f t="shared" si="56"/>
        <v>93.821561526096502</v>
      </c>
      <c r="P172" s="288">
        <f t="shared" si="57"/>
        <v>3.3089399999999998</v>
      </c>
    </row>
    <row r="173" spans="1:16" x14ac:dyDescent="0.3">
      <c r="A173" s="276">
        <f t="shared" si="52"/>
        <v>162</v>
      </c>
      <c r="B173" s="285">
        <f t="shared" si="46"/>
        <v>1800.0001974181084</v>
      </c>
      <c r="C173" s="286">
        <f t="shared" si="42"/>
        <v>2847.4739999999997</v>
      </c>
      <c r="D173" s="287">
        <f t="shared" si="43"/>
        <v>2545.5966685609314</v>
      </c>
      <c r="E173" s="287">
        <f t="shared" si="44"/>
        <v>897.74627976819852</v>
      </c>
      <c r="F173" s="288">
        <f t="shared" si="45"/>
        <v>35.474925143999997</v>
      </c>
      <c r="G173" s="285">
        <f t="shared" si="47"/>
        <v>11.999983548490963</v>
      </c>
      <c r="H173" s="286">
        <f t="shared" si="48"/>
        <v>35.153999999999996</v>
      </c>
      <c r="I173" s="287">
        <f t="shared" si="49"/>
        <v>27.235058018733763</v>
      </c>
      <c r="J173" s="287">
        <f t="shared" si="50"/>
        <v>6.2553906121989025</v>
      </c>
      <c r="K173" s="288">
        <f t="shared" si="51"/>
        <v>0.22059599999999999</v>
      </c>
      <c r="L173" s="285">
        <f t="shared" si="53"/>
        <v>179.99950836120397</v>
      </c>
      <c r="M173" s="286">
        <f t="shared" si="54"/>
        <v>502.89749999999998</v>
      </c>
      <c r="N173" s="287">
        <f t="shared" si="55"/>
        <v>396.77183574827973</v>
      </c>
      <c r="O173" s="287">
        <f t="shared" si="56"/>
        <v>93.822831003156253</v>
      </c>
      <c r="P173" s="288">
        <f t="shared" si="57"/>
        <v>3.3089399999999998</v>
      </c>
    </row>
    <row r="174" spans="1:16" x14ac:dyDescent="0.3">
      <c r="A174" s="276">
        <f t="shared" si="52"/>
        <v>163</v>
      </c>
      <c r="B174" s="285">
        <f t="shared" si="46"/>
        <v>1812.0001816334279</v>
      </c>
      <c r="C174" s="286">
        <f t="shared" si="42"/>
        <v>2882.7365</v>
      </c>
      <c r="D174" s="287">
        <f t="shared" si="43"/>
        <v>2572.8823693323561</v>
      </c>
      <c r="E174" s="287">
        <f t="shared" si="44"/>
        <v>904.00169663130737</v>
      </c>
      <c r="F174" s="288">
        <f t="shared" si="45"/>
        <v>35.695521143999997</v>
      </c>
      <c r="G174" s="285">
        <f t="shared" si="47"/>
        <v>11.999984863881</v>
      </c>
      <c r="H174" s="286">
        <f t="shared" si="48"/>
        <v>35.371000000000002</v>
      </c>
      <c r="I174" s="287">
        <f t="shared" si="49"/>
        <v>27.3362459841969</v>
      </c>
      <c r="J174" s="287">
        <f t="shared" si="50"/>
        <v>6.2554426455263501</v>
      </c>
      <c r="K174" s="288">
        <f t="shared" si="51"/>
        <v>0.22059599999999999</v>
      </c>
      <c r="L174" s="285">
        <f t="shared" si="53"/>
        <v>179.99954767047171</v>
      </c>
      <c r="M174" s="286">
        <f t="shared" si="54"/>
        <v>506.15249999999997</v>
      </c>
      <c r="N174" s="287">
        <f t="shared" si="55"/>
        <v>398.35744070809244</v>
      </c>
      <c r="O174" s="287">
        <f t="shared" si="56"/>
        <v>93.8240337165916</v>
      </c>
      <c r="P174" s="288">
        <f t="shared" si="57"/>
        <v>3.3089399999999998</v>
      </c>
    </row>
    <row r="175" spans="1:16" x14ac:dyDescent="0.3">
      <c r="A175" s="276">
        <f t="shared" si="52"/>
        <v>164</v>
      </c>
      <c r="B175" s="285">
        <f t="shared" si="46"/>
        <v>1824.0001671108209</v>
      </c>
      <c r="C175" s="286">
        <f t="shared" si="42"/>
        <v>2918.2159999999999</v>
      </c>
      <c r="D175" s="287">
        <f t="shared" si="43"/>
        <v>2600.268966012658</v>
      </c>
      <c r="E175" s="287">
        <f t="shared" si="44"/>
        <v>910.25716414717067</v>
      </c>
      <c r="F175" s="288">
        <f t="shared" si="45"/>
        <v>35.916117143999998</v>
      </c>
      <c r="G175" s="285">
        <f t="shared" si="47"/>
        <v>11.999986074098253</v>
      </c>
      <c r="H175" s="286">
        <f t="shared" si="48"/>
        <v>35.588000000000001</v>
      </c>
      <c r="I175" s="287">
        <f t="shared" si="49"/>
        <v>27.436850399001404</v>
      </c>
      <c r="J175" s="287">
        <f t="shared" si="50"/>
        <v>6.2554919423462687</v>
      </c>
      <c r="K175" s="288">
        <f t="shared" si="51"/>
        <v>0.22059599999999999</v>
      </c>
      <c r="L175" s="285">
        <f t="shared" si="53"/>
        <v>179.99958383674391</v>
      </c>
      <c r="M175" s="286">
        <f t="shared" si="54"/>
        <v>509.40749999999997</v>
      </c>
      <c r="N175" s="287">
        <f t="shared" si="55"/>
        <v>399.93390148940131</v>
      </c>
      <c r="O175" s="287">
        <f t="shared" si="56"/>
        <v>93.825173177597577</v>
      </c>
      <c r="P175" s="288">
        <f t="shared" si="57"/>
        <v>3.3089399999999998</v>
      </c>
    </row>
    <row r="176" spans="1:16" x14ac:dyDescent="0.3">
      <c r="A176" s="276">
        <f t="shared" si="52"/>
        <v>165</v>
      </c>
      <c r="B176" s="285">
        <f t="shared" si="46"/>
        <v>1836.0001537493774</v>
      </c>
      <c r="C176" s="286">
        <f t="shared" si="42"/>
        <v>2953.9124999999999</v>
      </c>
      <c r="D176" s="287">
        <f t="shared" si="43"/>
        <v>2627.7558767354662</v>
      </c>
      <c r="E176" s="287">
        <f t="shared" si="44"/>
        <v>916.51267965188708</v>
      </c>
      <c r="F176" s="288">
        <f t="shared" si="45"/>
        <v>36.136713143999998</v>
      </c>
      <c r="G176" s="285">
        <f t="shared" si="47"/>
        <v>11.999987187551881</v>
      </c>
      <c r="H176" s="286">
        <f t="shared" si="48"/>
        <v>35.805</v>
      </c>
      <c r="I176" s="287">
        <f t="shared" si="49"/>
        <v>27.536874628481979</v>
      </c>
      <c r="J176" s="287">
        <f t="shared" si="50"/>
        <v>6.2555386465755269</v>
      </c>
      <c r="K176" s="288">
        <f t="shared" si="51"/>
        <v>0.22059599999999999</v>
      </c>
      <c r="L176" s="285">
        <f t="shared" si="53"/>
        <v>179.99961711132067</v>
      </c>
      <c r="M176" s="286">
        <f t="shared" si="54"/>
        <v>512.66250000000002</v>
      </c>
      <c r="N176" s="287">
        <f t="shared" si="55"/>
        <v>401.5012708266533</v>
      </c>
      <c r="O176" s="287">
        <f t="shared" si="56"/>
        <v>93.826252712710428</v>
      </c>
      <c r="P176" s="288">
        <f t="shared" si="57"/>
        <v>3.3089399999999998</v>
      </c>
    </row>
    <row r="177" spans="1:16" x14ac:dyDescent="0.3">
      <c r="A177" s="276">
        <f t="shared" si="52"/>
        <v>166</v>
      </c>
      <c r="B177" s="285">
        <f t="shared" si="46"/>
        <v>1848.000141456256</v>
      </c>
      <c r="C177" s="286">
        <f t="shared" si="42"/>
        <v>2989.826</v>
      </c>
      <c r="D177" s="287">
        <f t="shared" si="43"/>
        <v>2655.3425229900367</v>
      </c>
      <c r="E177" s="287">
        <f t="shared" si="44"/>
        <v>922.76824062165383</v>
      </c>
      <c r="F177" s="288">
        <f t="shared" si="45"/>
        <v>36.357309143999991</v>
      </c>
      <c r="G177" s="285">
        <f t="shared" si="47"/>
        <v>11.999988211978669</v>
      </c>
      <c r="H177" s="286">
        <f t="shared" si="48"/>
        <v>36.021999999999998</v>
      </c>
      <c r="I177" s="287">
        <f t="shared" si="49"/>
        <v>27.636322018565433</v>
      </c>
      <c r="J177" s="287">
        <f t="shared" si="50"/>
        <v>6.2555828945621972</v>
      </c>
      <c r="K177" s="288">
        <f t="shared" si="51"/>
        <v>0.22059599999999999</v>
      </c>
      <c r="L177" s="285">
        <f t="shared" si="53"/>
        <v>179.99964772540915</v>
      </c>
      <c r="M177" s="286">
        <f t="shared" si="54"/>
        <v>515.91750000000002</v>
      </c>
      <c r="N177" s="287">
        <f t="shared" si="55"/>
        <v>403.05960115017581</v>
      </c>
      <c r="O177" s="287">
        <f t="shared" si="56"/>
        <v>93.827275473519038</v>
      </c>
      <c r="P177" s="288">
        <f t="shared" si="57"/>
        <v>3.3089399999999998</v>
      </c>
    </row>
    <row r="178" spans="1:16" x14ac:dyDescent="0.3">
      <c r="A178" s="276">
        <f t="shared" si="52"/>
        <v>167</v>
      </c>
      <c r="B178" s="285">
        <f t="shared" si="46"/>
        <v>1860.0001301460381</v>
      </c>
      <c r="C178" s="286">
        <f t="shared" si="42"/>
        <v>3025.9564999999998</v>
      </c>
      <c r="D178" s="287">
        <f t="shared" si="43"/>
        <v>2683.0283296018879</v>
      </c>
      <c r="E178" s="287">
        <f t="shared" si="44"/>
        <v>929.02384466539854</v>
      </c>
      <c r="F178" s="288">
        <f t="shared" si="45"/>
        <v>36.577905143999992</v>
      </c>
      <c r="G178" s="285">
        <f t="shared" si="47"/>
        <v>11.999989154496815</v>
      </c>
      <c r="H178" s="286">
        <f t="shared" si="48"/>
        <v>36.238999999999997</v>
      </c>
      <c r="I178" s="287">
        <f t="shared" si="49"/>
        <v>27.735195895882658</v>
      </c>
      <c r="J178" s="287">
        <f t="shared" si="50"/>
        <v>6.2556248154836078</v>
      </c>
      <c r="K178" s="288">
        <f t="shared" si="51"/>
        <v>0.22059599999999999</v>
      </c>
      <c r="L178" s="285">
        <f t="shared" si="53"/>
        <v>179.99967589173028</v>
      </c>
      <c r="M178" s="286">
        <f t="shared" si="54"/>
        <v>519.17250000000001</v>
      </c>
      <c r="N178" s="287">
        <f t="shared" si="55"/>
        <v>404.60894458793092</v>
      </c>
      <c r="O178" s="287">
        <f t="shared" si="56"/>
        <v>93.828244445865764</v>
      </c>
      <c r="P178" s="288">
        <f t="shared" si="57"/>
        <v>3.3089399999999998</v>
      </c>
    </row>
    <row r="179" spans="1:16" x14ac:dyDescent="0.3">
      <c r="A179" s="276">
        <f t="shared" si="52"/>
        <v>168</v>
      </c>
      <c r="B179" s="285">
        <f t="shared" si="46"/>
        <v>1872.0001197401355</v>
      </c>
      <c r="C179" s="286">
        <f t="shared" si="42"/>
        <v>3062.3040000000001</v>
      </c>
      <c r="D179" s="287">
        <f t="shared" si="43"/>
        <v>2710.812724713574</v>
      </c>
      <c r="E179" s="287">
        <f t="shared" si="44"/>
        <v>935.27948951779877</v>
      </c>
      <c r="F179" s="288">
        <f t="shared" si="45"/>
        <v>36.798501143999999</v>
      </c>
      <c r="G179" s="285">
        <f t="shared" si="47"/>
        <v>11.999990021655371</v>
      </c>
      <c r="H179" s="286">
        <f t="shared" si="48"/>
        <v>36.456000000000003</v>
      </c>
      <c r="I179" s="287">
        <f t="shared" si="49"/>
        <v>27.833499567879851</v>
      </c>
      <c r="J179" s="287">
        <f t="shared" si="50"/>
        <v>6.2556645317234691</v>
      </c>
      <c r="K179" s="288">
        <f t="shared" si="51"/>
        <v>0.22059599999999999</v>
      </c>
      <c r="L179" s="285">
        <f t="shared" si="53"/>
        <v>179.99970180599669</v>
      </c>
      <c r="M179" s="286">
        <f t="shared" si="54"/>
        <v>522.42750000000001</v>
      </c>
      <c r="N179" s="287">
        <f t="shared" si="55"/>
        <v>406.14935296725872</v>
      </c>
      <c r="O179" s="287">
        <f t="shared" si="56"/>
        <v>93.829162458563118</v>
      </c>
      <c r="P179" s="288">
        <f t="shared" si="57"/>
        <v>3.3089399999999998</v>
      </c>
    </row>
    <row r="180" spans="1:16" x14ac:dyDescent="0.3">
      <c r="A180" s="276">
        <f t="shared" si="52"/>
        <v>169</v>
      </c>
      <c r="B180" s="285">
        <f t="shared" si="46"/>
        <v>1884.0001101662428</v>
      </c>
      <c r="C180" s="286">
        <f t="shared" si="42"/>
        <v>3098.8685</v>
      </c>
      <c r="D180" s="287">
        <f t="shared" si="43"/>
        <v>2738.6951397655425</v>
      </c>
      <c r="E180" s="287">
        <f t="shared" si="44"/>
        <v>941.53517303266847</v>
      </c>
      <c r="F180" s="288">
        <f t="shared" si="45"/>
        <v>37.019097144</v>
      </c>
      <c r="G180" s="285">
        <f t="shared" si="47"/>
        <v>11.999990819479756</v>
      </c>
      <c r="H180" s="286">
        <f t="shared" si="48"/>
        <v>36.673000000000002</v>
      </c>
      <c r="I180" s="287">
        <f t="shared" si="49"/>
        <v>27.931236322929191</v>
      </c>
      <c r="J180" s="287">
        <f t="shared" si="50"/>
        <v>6.2557021592291537</v>
      </c>
      <c r="K180" s="288">
        <f t="shared" si="51"/>
        <v>0.22059599999999999</v>
      </c>
      <c r="L180" s="285">
        <f t="shared" si="53"/>
        <v>179.9997256482728</v>
      </c>
      <c r="M180" s="286">
        <f t="shared" si="54"/>
        <v>525.6825</v>
      </c>
      <c r="N180" s="287">
        <f t="shared" si="55"/>
        <v>407.68087781661126</v>
      </c>
      <c r="O180" s="287">
        <f t="shared" si="56"/>
        <v>93.830032191652407</v>
      </c>
      <c r="P180" s="288">
        <f t="shared" si="57"/>
        <v>3.3089399999999998</v>
      </c>
    </row>
    <row r="181" spans="1:16" x14ac:dyDescent="0.3">
      <c r="A181" s="276">
        <f t="shared" si="52"/>
        <v>170</v>
      </c>
      <c r="B181" s="285">
        <f t="shared" si="46"/>
        <v>1896.0001013578365</v>
      </c>
      <c r="C181" s="286">
        <f t="shared" si="42"/>
        <v>3135.65</v>
      </c>
      <c r="D181" s="287">
        <f t="shared" si="43"/>
        <v>2766.6750094771282</v>
      </c>
      <c r="E181" s="287">
        <f t="shared" si="44"/>
        <v>947.79089317669309</v>
      </c>
      <c r="F181" s="288">
        <f t="shared" si="45"/>
        <v>37.239693144</v>
      </c>
      <c r="G181" s="285">
        <f t="shared" si="47"/>
        <v>11.999991553513627</v>
      </c>
      <c r="H181" s="286">
        <f t="shared" si="48"/>
        <v>36.89</v>
      </c>
      <c r="I181" s="287">
        <f t="shared" si="49"/>
        <v>28.028409430438817</v>
      </c>
      <c r="J181" s="287">
        <f t="shared" si="50"/>
        <v>6.2557378078501973</v>
      </c>
      <c r="K181" s="288">
        <f t="shared" si="51"/>
        <v>0.22059599999999999</v>
      </c>
      <c r="L181" s="285">
        <f t="shared" si="53"/>
        <v>179.99974758422573</v>
      </c>
      <c r="M181" s="286">
        <f t="shared" si="54"/>
        <v>528.9375</v>
      </c>
      <c r="N181" s="287">
        <f t="shared" si="55"/>
        <v>409.20357036727637</v>
      </c>
      <c r="O181" s="287">
        <f t="shared" si="56"/>
        <v>93.830856184227613</v>
      </c>
      <c r="P181" s="288">
        <f t="shared" si="57"/>
        <v>3.3089399999999998</v>
      </c>
    </row>
    <row r="182" spans="1:16" x14ac:dyDescent="0.3">
      <c r="A182" s="276">
        <f t="shared" si="52"/>
        <v>171</v>
      </c>
      <c r="B182" s="285">
        <f t="shared" si="46"/>
        <v>1908.0000932537114</v>
      </c>
      <c r="C182" s="286">
        <f t="shared" si="42"/>
        <v>3172.6484999999998</v>
      </c>
      <c r="D182" s="287">
        <f t="shared" si="43"/>
        <v>2794.7517718276331</v>
      </c>
      <c r="E182" s="287">
        <f t="shared" si="44"/>
        <v>954.04664802349237</v>
      </c>
      <c r="F182" s="288">
        <f t="shared" si="45"/>
        <v>37.460289143999994</v>
      </c>
      <c r="G182" s="285">
        <f t="shared" si="47"/>
        <v>11.999992228857389</v>
      </c>
      <c r="H182" s="286">
        <f t="shared" si="48"/>
        <v>37.106999999999999</v>
      </c>
      <c r="I182" s="287">
        <f t="shared" si="49"/>
        <v>28.125022140962216</v>
      </c>
      <c r="J182" s="287">
        <f t="shared" si="50"/>
        <v>6.2557715816589887</v>
      </c>
      <c r="K182" s="288">
        <f t="shared" si="51"/>
        <v>0.22059599999999999</v>
      </c>
      <c r="L182" s="285">
        <f t="shared" si="53"/>
        <v>179.99976776627673</v>
      </c>
      <c r="M182" s="286">
        <f t="shared" si="54"/>
        <v>532.1925</v>
      </c>
      <c r="N182" s="287">
        <f t="shared" si="55"/>
        <v>410.7174815550909</v>
      </c>
      <c r="O182" s="287">
        <f t="shared" si="56"/>
        <v>93.831636841848209</v>
      </c>
      <c r="P182" s="288">
        <f t="shared" si="57"/>
        <v>3.3089399999999998</v>
      </c>
    </row>
    <row r="183" spans="1:16" x14ac:dyDescent="0.3">
      <c r="A183" s="276">
        <f t="shared" si="52"/>
        <v>172</v>
      </c>
      <c r="B183" s="285">
        <f t="shared" si="46"/>
        <v>1920.0000857975563</v>
      </c>
      <c r="C183" s="286">
        <f t="shared" ref="C183:C202" si="58">0.217*A183*A183/2</f>
        <v>3209.864</v>
      </c>
      <c r="D183" s="287">
        <f t="shared" ref="D183:D202" si="59">0.259*(172.9*A183-172.9*172.9*(1-EXP(-A183/172.9)))</f>
        <v>2822.9248680375331</v>
      </c>
      <c r="E183" s="287">
        <f t="shared" ref="E183:E202" si="60">0.338*(18.51*A183-18.51*18.51*(1-EXP(-A183/18.51)))</f>
        <v>960.30243574799749</v>
      </c>
      <c r="F183" s="288">
        <f t="shared" ref="F183:F202" si="61">0.186*(1.186*A183-1.186*1.186*(1-EXP(-A183/1.186)))</f>
        <v>37.680885143999994</v>
      </c>
      <c r="G183" s="285">
        <f t="shared" si="47"/>
        <v>11.999992850203645</v>
      </c>
      <c r="H183" s="286">
        <f t="shared" si="48"/>
        <v>37.323999999999998</v>
      </c>
      <c r="I183" s="287">
        <f t="shared" si="49"/>
        <v>28.22107768630692</v>
      </c>
      <c r="J183" s="287">
        <f t="shared" si="50"/>
        <v>6.2558035792546001</v>
      </c>
      <c r="K183" s="288">
        <f t="shared" si="51"/>
        <v>0.22059599999999999</v>
      </c>
      <c r="L183" s="285">
        <f t="shared" si="53"/>
        <v>179.99978633466</v>
      </c>
      <c r="M183" s="286">
        <f t="shared" si="54"/>
        <v>535.44749999999999</v>
      </c>
      <c r="N183" s="287">
        <f t="shared" si="55"/>
        <v>412.22266202214524</v>
      </c>
      <c r="O183" s="287">
        <f t="shared" si="56"/>
        <v>93.832376443561756</v>
      </c>
      <c r="P183" s="288">
        <f t="shared" si="57"/>
        <v>3.3089399999999998</v>
      </c>
    </row>
    <row r="184" spans="1:16" x14ac:dyDescent="0.3">
      <c r="A184" s="276">
        <f t="shared" si="52"/>
        <v>173</v>
      </c>
      <c r="B184" s="285">
        <f t="shared" si="46"/>
        <v>1932.0000789375624</v>
      </c>
      <c r="C184" s="286">
        <f t="shared" si="58"/>
        <v>3247.2964999999999</v>
      </c>
      <c r="D184" s="287">
        <f t="shared" si="59"/>
        <v>2851.1937425497831</v>
      </c>
      <c r="E184" s="287">
        <f t="shared" si="60"/>
        <v>966.55825462112284</v>
      </c>
      <c r="F184" s="288">
        <f t="shared" si="61"/>
        <v>37.901481143999995</v>
      </c>
      <c r="G184" s="285">
        <f t="shared" si="47"/>
        <v>11.999993421869798</v>
      </c>
      <c r="H184" s="286">
        <f t="shared" si="48"/>
        <v>37.540999999999997</v>
      </c>
      <c r="I184" s="287">
        <f t="shared" si="49"/>
        <v>28.316579279642664</v>
      </c>
      <c r="J184" s="287">
        <f t="shared" si="50"/>
        <v>6.2558338940506371</v>
      </c>
      <c r="K184" s="288">
        <f t="shared" si="51"/>
        <v>0.22059599999999999</v>
      </c>
      <c r="L184" s="285">
        <f t="shared" si="53"/>
        <v>179.99980341839733</v>
      </c>
      <c r="M184" s="286">
        <f t="shared" si="54"/>
        <v>538.70249999999999</v>
      </c>
      <c r="N184" s="287">
        <f t="shared" si="55"/>
        <v>413.71916211847667</v>
      </c>
      <c r="O184" s="287">
        <f t="shared" si="56"/>
        <v>93.833077148557436</v>
      </c>
      <c r="P184" s="288">
        <f t="shared" si="57"/>
        <v>3.3089399999999998</v>
      </c>
    </row>
    <row r="185" spans="1:16" x14ac:dyDescent="0.3">
      <c r="A185" s="276">
        <f t="shared" si="52"/>
        <v>174</v>
      </c>
      <c r="B185" s="285">
        <f t="shared" si="46"/>
        <v>1944.0000726260635</v>
      </c>
      <c r="C185" s="286">
        <f t="shared" si="58"/>
        <v>3284.9460000000004</v>
      </c>
      <c r="D185" s="287">
        <f t="shared" si="59"/>
        <v>2879.5578430112341</v>
      </c>
      <c r="E185" s="287">
        <f t="shared" si="60"/>
        <v>972.81410300471759</v>
      </c>
      <c r="F185" s="288">
        <f t="shared" si="61"/>
        <v>38.122077143999995</v>
      </c>
      <c r="G185" s="285">
        <f t="shared" si="47"/>
        <v>11.999993947828049</v>
      </c>
      <c r="H185" s="286">
        <f t="shared" si="48"/>
        <v>37.758000000000003</v>
      </c>
      <c r="I185" s="287">
        <f t="shared" si="49"/>
        <v>28.411530115608823</v>
      </c>
      <c r="J185" s="287">
        <f t="shared" si="50"/>
        <v>6.2558626145479508</v>
      </c>
      <c r="K185" s="288">
        <f t="shared" si="51"/>
        <v>0.22059599999999999</v>
      </c>
      <c r="L185" s="285">
        <f t="shared" si="53"/>
        <v>179.99981913619445</v>
      </c>
      <c r="M185" s="286">
        <f t="shared" si="54"/>
        <v>541.95749999999998</v>
      </c>
      <c r="N185" s="287">
        <f t="shared" si="55"/>
        <v>415.20703190375417</v>
      </c>
      <c r="O185" s="287">
        <f t="shared" si="56"/>
        <v>93.833741002469623</v>
      </c>
      <c r="P185" s="288">
        <f t="shared" si="57"/>
        <v>3.3089399999999998</v>
      </c>
    </row>
    <row r="186" spans="1:16" x14ac:dyDescent="0.3">
      <c r="A186" s="276">
        <f t="shared" si="52"/>
        <v>175</v>
      </c>
      <c r="B186" s="285">
        <f t="shared" si="46"/>
        <v>1956.000066819204</v>
      </c>
      <c r="C186" s="286">
        <f t="shared" si="58"/>
        <v>3322.8125</v>
      </c>
      <c r="D186" s="287">
        <f t="shared" si="59"/>
        <v>2908.0166202541527</v>
      </c>
      <c r="E186" s="287">
        <f t="shared" si="60"/>
        <v>979.06997934678361</v>
      </c>
      <c r="F186" s="288">
        <f t="shared" si="61"/>
        <v>38.342673143999995</v>
      </c>
      <c r="G186" s="285">
        <f t="shared" si="47"/>
        <v>11.999994431733001</v>
      </c>
      <c r="H186" s="286">
        <f t="shared" si="48"/>
        <v>37.975000000000001</v>
      </c>
      <c r="I186" s="287">
        <f t="shared" si="49"/>
        <v>28.505933370421324</v>
      </c>
      <c r="J186" s="287">
        <f t="shared" si="50"/>
        <v>6.2558898245930035</v>
      </c>
      <c r="K186" s="288">
        <f t="shared" si="51"/>
        <v>0.22059599999999999</v>
      </c>
      <c r="L186" s="285">
        <f t="shared" si="53"/>
        <v>179.9998335972659</v>
      </c>
      <c r="M186" s="286">
        <f t="shared" si="54"/>
        <v>545.21249999999998</v>
      </c>
      <c r="N186" s="287">
        <f t="shared" si="55"/>
        <v>416.68632114895286</v>
      </c>
      <c r="O186" s="287">
        <f t="shared" si="56"/>
        <v>93.834369943349785</v>
      </c>
      <c r="P186" s="288">
        <f t="shared" si="57"/>
        <v>3.3089399999999998</v>
      </c>
    </row>
    <row r="187" spans="1:16" x14ac:dyDescent="0.3">
      <c r="A187" s="276">
        <f t="shared" si="52"/>
        <v>176</v>
      </c>
      <c r="B187" s="285">
        <f t="shared" si="46"/>
        <v>1968.0000614766354</v>
      </c>
      <c r="C187" s="286">
        <f t="shared" si="58"/>
        <v>3360.8960000000002</v>
      </c>
      <c r="D187" s="287">
        <f t="shared" si="59"/>
        <v>2936.5695282778611</v>
      </c>
      <c r="E187" s="287">
        <f t="shared" si="60"/>
        <v>985.32588217694479</v>
      </c>
      <c r="F187" s="288">
        <f t="shared" si="61"/>
        <v>38.563269143999996</v>
      </c>
      <c r="G187" s="285">
        <f t="shared" si="47"/>
        <v>11.999994876947047</v>
      </c>
      <c r="H187" s="286">
        <f t="shared" si="48"/>
        <v>38.192</v>
      </c>
      <c r="I187" s="287">
        <f t="shared" si="49"/>
        <v>28.599792201978829</v>
      </c>
      <c r="J187" s="287">
        <f t="shared" si="50"/>
        <v>6.2559156036226531</v>
      </c>
      <c r="K187" s="288">
        <f t="shared" si="51"/>
        <v>0.22059599999999999</v>
      </c>
      <c r="L187" s="285">
        <f t="shared" si="53"/>
        <v>179.99984690209391</v>
      </c>
      <c r="M187" s="286">
        <f t="shared" si="54"/>
        <v>548.46749999999997</v>
      </c>
      <c r="N187" s="287">
        <f t="shared" si="55"/>
        <v>418.15707933801849</v>
      </c>
      <c r="O187" s="287">
        <f t="shared" si="56"/>
        <v>93.834965807324465</v>
      </c>
      <c r="P187" s="288">
        <f t="shared" si="57"/>
        <v>3.3089399999999998</v>
      </c>
    </row>
    <row r="188" spans="1:16" x14ac:dyDescent="0.3">
      <c r="A188" s="276">
        <f t="shared" si="52"/>
        <v>177</v>
      </c>
      <c r="B188" s="285">
        <f t="shared" si="46"/>
        <v>1980.0000565612349</v>
      </c>
      <c r="C188" s="286">
        <f t="shared" si="58"/>
        <v>3399.1965</v>
      </c>
      <c r="D188" s="287">
        <f t="shared" si="59"/>
        <v>2965.2160242304553</v>
      </c>
      <c r="E188" s="287">
        <f t="shared" si="60"/>
        <v>991.58181010215424</v>
      </c>
      <c r="F188" s="288">
        <f t="shared" si="61"/>
        <v>38.783865143999996</v>
      </c>
      <c r="G188" s="285">
        <f t="shared" si="47"/>
        <v>11.999995286563745</v>
      </c>
      <c r="H188" s="286">
        <f t="shared" si="48"/>
        <v>38.408999999999999</v>
      </c>
      <c r="I188" s="287">
        <f t="shared" si="49"/>
        <v>28.693109749968446</v>
      </c>
      <c r="J188" s="287">
        <f t="shared" si="50"/>
        <v>6.2559400268960559</v>
      </c>
      <c r="K188" s="288">
        <f t="shared" si="51"/>
        <v>0.22059599999999999</v>
      </c>
      <c r="L188" s="285">
        <f t="shared" si="53"/>
        <v>179.99985914312663</v>
      </c>
      <c r="M188" s="286">
        <f t="shared" si="54"/>
        <v>551.72249999999997</v>
      </c>
      <c r="N188" s="287">
        <f t="shared" si="55"/>
        <v>419.61935566952343</v>
      </c>
      <c r="O188" s="287">
        <f t="shared" si="56"/>
        <v>93.835530333955717</v>
      </c>
      <c r="P188" s="288">
        <f t="shared" si="57"/>
        <v>3.3089399999999998</v>
      </c>
    </row>
    <row r="189" spans="1:16" x14ac:dyDescent="0.3">
      <c r="A189" s="276">
        <f t="shared" si="52"/>
        <v>178</v>
      </c>
      <c r="B189" s="285">
        <f t="shared" si="46"/>
        <v>1992.0000520388485</v>
      </c>
      <c r="C189" s="286">
        <f t="shared" si="58"/>
        <v>3437.7139999999999</v>
      </c>
      <c r="D189" s="287">
        <f t="shared" si="59"/>
        <v>2993.9555683906688</v>
      </c>
      <c r="E189" s="287">
        <f t="shared" si="60"/>
        <v>997.8377618026268</v>
      </c>
      <c r="F189" s="288">
        <f t="shared" si="61"/>
        <v>39.004461143999997</v>
      </c>
      <c r="G189" s="285">
        <f t="shared" si="47"/>
        <v>11.999995663429299</v>
      </c>
      <c r="H189" s="286">
        <f t="shared" si="48"/>
        <v>38.625999999999998</v>
      </c>
      <c r="I189" s="287">
        <f t="shared" si="49"/>
        <v>28.785889135970685</v>
      </c>
      <c r="J189" s="287">
        <f t="shared" si="50"/>
        <v>6.2559631657143839</v>
      </c>
      <c r="K189" s="288">
        <f t="shared" si="51"/>
        <v>0.22059599999999999</v>
      </c>
      <c r="L189" s="285">
        <f t="shared" si="53"/>
        <v>179.99987040542038</v>
      </c>
      <c r="M189" s="286">
        <f t="shared" si="54"/>
        <v>554.97749999999996</v>
      </c>
      <c r="N189" s="287">
        <f t="shared" si="55"/>
        <v>421.07319905831196</v>
      </c>
      <c r="O189" s="287">
        <f t="shared" si="56"/>
        <v>93.836065171319518</v>
      </c>
      <c r="P189" s="288">
        <f t="shared" si="57"/>
        <v>3.3089399999999998</v>
      </c>
    </row>
    <row r="190" spans="1:16" x14ac:dyDescent="0.3">
      <c r="A190" s="276">
        <f t="shared" si="52"/>
        <v>179</v>
      </c>
      <c r="B190" s="285">
        <f t="shared" si="46"/>
        <v>2004.0000478780519</v>
      </c>
      <c r="C190" s="286">
        <f t="shared" si="58"/>
        <v>3476.4484999999995</v>
      </c>
      <c r="D190" s="287">
        <f t="shared" si="59"/>
        <v>3022.7876241497943</v>
      </c>
      <c r="E190" s="287">
        <f t="shared" si="60"/>
        <v>1004.0937360279878</v>
      </c>
      <c r="F190" s="288">
        <f t="shared" si="61"/>
        <v>39.225057143999997</v>
      </c>
      <c r="G190" s="285">
        <f t="shared" si="47"/>
        <v>11.999996010162349</v>
      </c>
      <c r="H190" s="286">
        <f t="shared" si="48"/>
        <v>38.842999999999996</v>
      </c>
      <c r="I190" s="287">
        <f t="shared" si="49"/>
        <v>28.878133463563948</v>
      </c>
      <c r="J190" s="287">
        <f t="shared" si="50"/>
        <v>6.255985087628976</v>
      </c>
      <c r="K190" s="288">
        <f t="shared" si="51"/>
        <v>0.22059599999999999</v>
      </c>
      <c r="L190" s="285">
        <f t="shared" si="53"/>
        <v>179.99988076723085</v>
      </c>
      <c r="M190" s="286">
        <f t="shared" si="54"/>
        <v>558.23249999999996</v>
      </c>
      <c r="N190" s="287">
        <f t="shared" si="55"/>
        <v>422.51865813713624</v>
      </c>
      <c r="O190" s="287">
        <f t="shared" si="56"/>
        <v>93.836571880817118</v>
      </c>
      <c r="P190" s="288">
        <f t="shared" si="57"/>
        <v>3.3089399999999998</v>
      </c>
    </row>
    <row r="191" spans="1:16" x14ac:dyDescent="0.3">
      <c r="A191" s="276">
        <f t="shared" si="52"/>
        <v>180</v>
      </c>
      <c r="B191" s="285">
        <f t="shared" si="46"/>
        <v>2016.0000440499341</v>
      </c>
      <c r="C191" s="286">
        <f t="shared" si="58"/>
        <v>3515.4</v>
      </c>
      <c r="D191" s="287">
        <f t="shared" si="59"/>
        <v>3051.7116579937501</v>
      </c>
      <c r="E191" s="287">
        <f t="shared" si="60"/>
        <v>1010.3497315936205</v>
      </c>
      <c r="F191" s="288">
        <f t="shared" si="61"/>
        <v>39.445653143999998</v>
      </c>
      <c r="G191" s="285">
        <f t="shared" si="47"/>
        <v>11.999996329172154</v>
      </c>
      <c r="H191" s="286">
        <f t="shared" si="48"/>
        <v>39.06</v>
      </c>
      <c r="I191" s="287">
        <f t="shared" si="49"/>
        <v>28.969845818428276</v>
      </c>
      <c r="J191" s="287">
        <f t="shared" si="50"/>
        <v>6.2560058566385504</v>
      </c>
      <c r="K191" s="288">
        <f t="shared" si="51"/>
        <v>0.22059599999999999</v>
      </c>
      <c r="L191" s="285">
        <f t="shared" si="53"/>
        <v>179.9998903005567</v>
      </c>
      <c r="M191" s="286">
        <f t="shared" si="54"/>
        <v>561.48749999999995</v>
      </c>
      <c r="N191" s="287">
        <f t="shared" si="55"/>
        <v>423.95578125828411</v>
      </c>
      <c r="O191" s="287">
        <f t="shared" si="56"/>
        <v>93.837051941733463</v>
      </c>
      <c r="P191" s="288">
        <f t="shared" si="57"/>
        <v>3.3089399999999998</v>
      </c>
    </row>
    <row r="192" spans="1:16" x14ac:dyDescent="0.3">
      <c r="A192" s="276">
        <f t="shared" si="52"/>
        <v>181</v>
      </c>
      <c r="B192" s="285">
        <f t="shared" si="46"/>
        <v>2028.0000405278959</v>
      </c>
      <c r="C192" s="286">
        <f t="shared" si="58"/>
        <v>3554.5685000000003</v>
      </c>
      <c r="D192" s="287">
        <f t="shared" si="59"/>
        <v>3080.7271394852323</v>
      </c>
      <c r="E192" s="287">
        <f t="shared" si="60"/>
        <v>1016.6057473772097</v>
      </c>
      <c r="F192" s="288">
        <f t="shared" si="61"/>
        <v>39.666249143999998</v>
      </c>
      <c r="G192" s="285">
        <f t="shared" si="47"/>
        <v>11.999996622675344</v>
      </c>
      <c r="H192" s="286">
        <f t="shared" si="48"/>
        <v>39.277000000000001</v>
      </c>
      <c r="I192" s="287">
        <f t="shared" si="49"/>
        <v>29.061029268448625</v>
      </c>
      <c r="J192" s="287">
        <f t="shared" si="50"/>
        <v>6.2560255333760404</v>
      </c>
      <c r="K192" s="288">
        <f t="shared" si="51"/>
        <v>0.22059599999999999</v>
      </c>
      <c r="L192" s="285">
        <f t="shared" si="53"/>
        <v>179.9998990716399</v>
      </c>
      <c r="M192" s="286">
        <f t="shared" si="54"/>
        <v>564.74249999999995</v>
      </c>
      <c r="N192" s="287">
        <f t="shared" si="55"/>
        <v>425.38461649519542</v>
      </c>
      <c r="O192" s="287">
        <f t="shared" si="56"/>
        <v>93.837506755555765</v>
      </c>
      <c r="P192" s="288">
        <f t="shared" si="57"/>
        <v>3.3089399999999998</v>
      </c>
    </row>
    <row r="193" spans="1:16" x14ac:dyDescent="0.3">
      <c r="A193" s="276">
        <f t="shared" si="52"/>
        <v>182</v>
      </c>
      <c r="B193" s="285">
        <f t="shared" si="46"/>
        <v>2040.0000372874642</v>
      </c>
      <c r="C193" s="286">
        <f t="shared" si="58"/>
        <v>3593.9540000000002</v>
      </c>
      <c r="D193" s="287">
        <f t="shared" si="59"/>
        <v>3109.8335412459592</v>
      </c>
      <c r="E193" s="287">
        <f t="shared" si="60"/>
        <v>1022.8617823154636</v>
      </c>
      <c r="F193" s="288">
        <f t="shared" si="61"/>
        <v>39.886845143999992</v>
      </c>
      <c r="G193" s="285">
        <f t="shared" si="47"/>
        <v>11.999996892711314</v>
      </c>
      <c r="H193" s="286">
        <f t="shared" si="48"/>
        <v>39.494</v>
      </c>
      <c r="I193" s="287">
        <f t="shared" si="49"/>
        <v>29.151686863817467</v>
      </c>
      <c r="J193" s="287">
        <f t="shared" si="50"/>
        <v>6.2560441752856066</v>
      </c>
      <c r="K193" s="288">
        <f t="shared" si="51"/>
        <v>0.22059599999999999</v>
      </c>
      <c r="L193" s="285">
        <f t="shared" si="53"/>
        <v>179.99990714142604</v>
      </c>
      <c r="M193" s="286">
        <f t="shared" si="54"/>
        <v>567.99749999999995</v>
      </c>
      <c r="N193" s="287">
        <f t="shared" si="55"/>
        <v>426.80521164407099</v>
      </c>
      <c r="O193" s="287">
        <f t="shared" si="56"/>
        <v>93.837937650065015</v>
      </c>
      <c r="P193" s="288">
        <f t="shared" si="57"/>
        <v>3.3089399999999998</v>
      </c>
    </row>
    <row r="194" spans="1:16" x14ac:dyDescent="0.3">
      <c r="A194" s="276">
        <f t="shared" si="52"/>
        <v>183</v>
      </c>
      <c r="B194" s="285">
        <f t="shared" si="46"/>
        <v>2052.0000343061233</v>
      </c>
      <c r="C194" s="286">
        <f t="shared" si="58"/>
        <v>3633.5564999999997</v>
      </c>
      <c r="D194" s="287">
        <f t="shared" si="59"/>
        <v>3139.0303389390451</v>
      </c>
      <c r="E194" s="287">
        <f t="shared" si="60"/>
        <v>1029.117835401011</v>
      </c>
      <c r="F194" s="288">
        <f t="shared" si="61"/>
        <v>40.107441143999992</v>
      </c>
      <c r="G194" s="285">
        <f t="shared" si="47"/>
        <v>11.999997141156399</v>
      </c>
      <c r="H194" s="286">
        <f t="shared" si="48"/>
        <v>39.710999999999999</v>
      </c>
      <c r="I194" s="287">
        <f t="shared" si="49"/>
        <v>29.241821637136812</v>
      </c>
      <c r="J194" s="287">
        <f t="shared" si="50"/>
        <v>6.2560618367903365</v>
      </c>
      <c r="K194" s="288">
        <f t="shared" si="51"/>
        <v>0.22059599999999999</v>
      </c>
      <c r="L194" s="285">
        <f t="shared" si="53"/>
        <v>179.99991456598767</v>
      </c>
      <c r="M194" s="286">
        <f t="shared" si="54"/>
        <v>571.25249999999994</v>
      </c>
      <c r="N194" s="287">
        <f t="shared" si="55"/>
        <v>428.21761422547098</v>
      </c>
      <c r="O194" s="287">
        <f t="shared" si="56"/>
        <v>93.838345883212313</v>
      </c>
      <c r="P194" s="288">
        <f t="shared" si="57"/>
        <v>3.3089399999999998</v>
      </c>
    </row>
    <row r="195" spans="1:16" x14ac:dyDescent="0.3">
      <c r="A195" s="276">
        <f t="shared" si="52"/>
        <v>184</v>
      </c>
      <c r="B195" s="285">
        <f t="shared" si="46"/>
        <v>2064.0000315631569</v>
      </c>
      <c r="C195" s="286">
        <f t="shared" si="58"/>
        <v>3673.3759999999997</v>
      </c>
      <c r="D195" s="287">
        <f t="shared" si="59"/>
        <v>3168.3170112514472</v>
      </c>
      <c r="E195" s="287">
        <f t="shared" si="60"/>
        <v>1035.3739056794598</v>
      </c>
      <c r="F195" s="288">
        <f t="shared" si="61"/>
        <v>40.328037144</v>
      </c>
      <c r="G195" s="285">
        <f t="shared" si="47"/>
        <v>11.999997369736914</v>
      </c>
      <c r="H195" s="286">
        <f t="shared" si="48"/>
        <v>39.927999999999997</v>
      </c>
      <c r="I195" s="287">
        <f t="shared" si="49"/>
        <v>29.331436603519677</v>
      </c>
      <c r="J195" s="287">
        <f t="shared" si="50"/>
        <v>6.2560785694511312</v>
      </c>
      <c r="K195" s="288">
        <f t="shared" si="51"/>
        <v>0.22059599999999999</v>
      </c>
      <c r="L195" s="285">
        <f t="shared" si="53"/>
        <v>179.99992139691412</v>
      </c>
      <c r="M195" s="286">
        <f t="shared" si="54"/>
        <v>574.50750000000005</v>
      </c>
      <c r="N195" s="287">
        <f t="shared" si="55"/>
        <v>429.62187148590448</v>
      </c>
      <c r="O195" s="287">
        <f t="shared" si="56"/>
        <v>93.838732646791229</v>
      </c>
      <c r="P195" s="288">
        <f t="shared" si="57"/>
        <v>3.3089399999999998</v>
      </c>
    </row>
    <row r="196" spans="1:16" x14ac:dyDescent="0.3">
      <c r="A196" s="276">
        <f t="shared" si="52"/>
        <v>185</v>
      </c>
      <c r="B196" s="285">
        <f t="shared" ref="B196:B211" si="62">12*A196-12*12*(1-EXP(-A196/12))</f>
        <v>2076.0000290395064</v>
      </c>
      <c r="C196" s="286">
        <f t="shared" si="58"/>
        <v>3713.4125000000004</v>
      </c>
      <c r="D196" s="287">
        <f t="shared" si="59"/>
        <v>3197.6930398765394</v>
      </c>
      <c r="E196" s="287">
        <f t="shared" si="60"/>
        <v>1041.6299922466103</v>
      </c>
      <c r="F196" s="288">
        <f t="shared" si="61"/>
        <v>40.548633144</v>
      </c>
      <c r="G196" s="285">
        <f t="shared" ref="G196:G211" si="63">12*(1-EXP(-A196/12))</f>
        <v>11.999997580041137</v>
      </c>
      <c r="H196" s="286">
        <f t="shared" ref="H196:H211" si="64">0.217*A196</f>
        <v>40.145000000000003</v>
      </c>
      <c r="I196" s="287">
        <f t="shared" ref="I196:I211" si="65">0.259*172.9*(1-EXP(-A196/172.9))</f>
        <v>29.42053476069092</v>
      </c>
      <c r="J196" s="287">
        <f t="shared" ref="J196:J211" si="66">0.338*18.51*(1-EXP(-A196/18.51))</f>
        <v>6.2560944221172283</v>
      </c>
      <c r="K196" s="288">
        <f t="shared" ref="K196:K211" si="67">0.186*1.186*(1-EXP(-A196/1.186))</f>
        <v>0.22059599999999999</v>
      </c>
      <c r="L196" s="285">
        <f t="shared" si="53"/>
        <v>179.99992768166987</v>
      </c>
      <c r="M196" s="286">
        <f t="shared" si="54"/>
        <v>577.76250000000005</v>
      </c>
      <c r="N196" s="287">
        <f t="shared" si="55"/>
        <v>431.01803039941046</v>
      </c>
      <c r="O196" s="287">
        <f t="shared" si="56"/>
        <v>93.839099069917268</v>
      </c>
      <c r="P196" s="288">
        <f t="shared" si="57"/>
        <v>3.3089399999999998</v>
      </c>
    </row>
    <row r="197" spans="1:16" x14ac:dyDescent="0.3">
      <c r="A197" s="276">
        <f t="shared" si="52"/>
        <v>186</v>
      </c>
      <c r="B197" s="285">
        <f t="shared" si="62"/>
        <v>2088.0000267176356</v>
      </c>
      <c r="C197" s="286">
        <f t="shared" si="58"/>
        <v>3753.6660000000002</v>
      </c>
      <c r="D197" s="287">
        <f t="shared" si="59"/>
        <v>3227.1579094967628</v>
      </c>
      <c r="E197" s="287">
        <f t="shared" si="60"/>
        <v>1047.8860942458164</v>
      </c>
      <c r="F197" s="288">
        <f t="shared" si="61"/>
        <v>40.769229144000001</v>
      </c>
      <c r="G197" s="285">
        <f t="shared" si="63"/>
        <v>11.999997773530364</v>
      </c>
      <c r="H197" s="286">
        <f t="shared" si="64"/>
        <v>40.362000000000002</v>
      </c>
      <c r="I197" s="287">
        <f t="shared" si="65"/>
        <v>29.509119089087552</v>
      </c>
      <c r="J197" s="287">
        <f t="shared" si="66"/>
        <v>6.2561094410688156</v>
      </c>
      <c r="K197" s="288">
        <f t="shared" si="67"/>
        <v>0.22059599999999999</v>
      </c>
      <c r="L197" s="285">
        <f t="shared" si="53"/>
        <v>179.99993346392429</v>
      </c>
      <c r="M197" s="286">
        <f t="shared" si="54"/>
        <v>581.01750000000004</v>
      </c>
      <c r="N197" s="287">
        <f t="shared" si="55"/>
        <v>432.40613766912861</v>
      </c>
      <c r="O197" s="287">
        <f t="shared" si="56"/>
        <v>93.839446222324113</v>
      </c>
      <c r="P197" s="288">
        <f t="shared" si="57"/>
        <v>3.3089399999999998</v>
      </c>
    </row>
    <row r="198" spans="1:16" x14ac:dyDescent="0.3">
      <c r="A198" s="276">
        <f t="shared" si="52"/>
        <v>187</v>
      </c>
      <c r="B198" s="285">
        <f t="shared" si="62"/>
        <v>2100.0000245814113</v>
      </c>
      <c r="C198" s="286">
        <f t="shared" si="58"/>
        <v>3794.1365000000001</v>
      </c>
      <c r="D198" s="287">
        <f t="shared" si="59"/>
        <v>3256.7111077663953</v>
      </c>
      <c r="E198" s="287">
        <f t="shared" si="60"/>
        <v>1054.1422108654842</v>
      </c>
      <c r="F198" s="288">
        <f t="shared" si="61"/>
        <v>40.989825143999994</v>
      </c>
      <c r="G198" s="285">
        <f t="shared" si="63"/>
        <v>11.999997951549048</v>
      </c>
      <c r="H198" s="286">
        <f t="shared" si="64"/>
        <v>40.579000000000001</v>
      </c>
      <c r="I198" s="287">
        <f t="shared" si="65"/>
        <v>29.597192551958383</v>
      </c>
      <c r="J198" s="287">
        <f t="shared" si="66"/>
        <v>6.2561236701521388</v>
      </c>
      <c r="K198" s="288">
        <f t="shared" si="67"/>
        <v>0.22059599999999999</v>
      </c>
      <c r="L198" s="285">
        <f t="shared" si="53"/>
        <v>179.99993878385519</v>
      </c>
      <c r="M198" s="286">
        <f t="shared" si="54"/>
        <v>584.27250000000004</v>
      </c>
      <c r="N198" s="287">
        <f t="shared" si="55"/>
        <v>433.78623972886163</v>
      </c>
      <c r="O198" s="287">
        <f t="shared" si="56"/>
        <v>93.839775117486582</v>
      </c>
      <c r="P198" s="288">
        <f t="shared" si="57"/>
        <v>3.3089399999999998</v>
      </c>
    </row>
    <row r="199" spans="1:16" x14ac:dyDescent="0.3">
      <c r="A199" s="276">
        <f t="shared" si="52"/>
        <v>188</v>
      </c>
      <c r="B199" s="285">
        <f t="shared" si="62"/>
        <v>2112.0000226159905</v>
      </c>
      <c r="C199" s="286">
        <f t="shared" si="58"/>
        <v>3834.8240000000001</v>
      </c>
      <c r="D199" s="287">
        <f t="shared" si="59"/>
        <v>3286.3521252944124</v>
      </c>
      <c r="E199" s="287">
        <f t="shared" si="60"/>
        <v>1060.3983413367023</v>
      </c>
      <c r="F199" s="288">
        <f t="shared" si="61"/>
        <v>41.210421143999994</v>
      </c>
      <c r="G199" s="285">
        <f t="shared" si="63"/>
        <v>11.999998115334144</v>
      </c>
      <c r="H199" s="286">
        <f t="shared" si="64"/>
        <v>40.795999999999999</v>
      </c>
      <c r="I199" s="287">
        <f t="shared" si="65"/>
        <v>29.684758095463202</v>
      </c>
      <c r="J199" s="287">
        <f t="shared" si="66"/>
        <v>6.2561371509075041</v>
      </c>
      <c r="K199" s="288">
        <f t="shared" si="67"/>
        <v>0.22059599999999999</v>
      </c>
      <c r="L199" s="285">
        <f t="shared" si="53"/>
        <v>179.99994367842785</v>
      </c>
      <c r="M199" s="286">
        <f t="shared" si="54"/>
        <v>587.52750000000003</v>
      </c>
      <c r="N199" s="287">
        <f t="shared" si="55"/>
        <v>435.15838274462874</v>
      </c>
      <c r="O199" s="287">
        <f t="shared" si="56"/>
        <v>93.840086715579432</v>
      </c>
      <c r="P199" s="288">
        <f t="shared" si="57"/>
        <v>3.3089399999999998</v>
      </c>
    </row>
    <row r="200" spans="1:16" x14ac:dyDescent="0.3">
      <c r="A200" s="276">
        <f t="shared" si="52"/>
        <v>189</v>
      </c>
      <c r="B200" s="285">
        <f t="shared" si="62"/>
        <v>2124.0000208077154</v>
      </c>
      <c r="C200" s="286">
        <f t="shared" si="58"/>
        <v>3875.7284999999997</v>
      </c>
      <c r="D200" s="287">
        <f t="shared" si="59"/>
        <v>3316.0804556274447</v>
      </c>
      <c r="E200" s="287">
        <f t="shared" si="60"/>
        <v>1066.654484930998</v>
      </c>
      <c r="F200" s="288">
        <f t="shared" si="61"/>
        <v>41.431017143999995</v>
      </c>
      <c r="G200" s="285">
        <f t="shared" si="63"/>
        <v>11.999998266023704</v>
      </c>
      <c r="H200" s="286">
        <f t="shared" si="64"/>
        <v>41.012999999999998</v>
      </c>
      <c r="I200" s="287">
        <f t="shared" si="65"/>
        <v>29.771818648771287</v>
      </c>
      <c r="J200" s="287">
        <f t="shared" si="66"/>
        <v>6.2561499226905566</v>
      </c>
      <c r="K200" s="288">
        <f t="shared" si="67"/>
        <v>0.22059599999999999</v>
      </c>
      <c r="L200" s="285">
        <f t="shared" si="53"/>
        <v>179.99994818165214</v>
      </c>
      <c r="M200" s="286">
        <f t="shared" si="54"/>
        <v>590.78250000000003</v>
      </c>
      <c r="N200" s="287">
        <f t="shared" si="55"/>
        <v>436.52261261621004</v>
      </c>
      <c r="O200" s="287">
        <f t="shared" si="56"/>
        <v>93.840381926280415</v>
      </c>
      <c r="P200" s="288">
        <f t="shared" si="57"/>
        <v>3.3089399999999998</v>
      </c>
    </row>
    <row r="201" spans="1:16" x14ac:dyDescent="0.3">
      <c r="A201" s="276">
        <f t="shared" si="52"/>
        <v>190</v>
      </c>
      <c r="B201" s="285">
        <f t="shared" si="62"/>
        <v>2136.0000191440226</v>
      </c>
      <c r="C201" s="286">
        <f t="shared" si="58"/>
        <v>3916.85</v>
      </c>
      <c r="D201" s="287">
        <f t="shared" si="59"/>
        <v>3345.8955952328356</v>
      </c>
      <c r="E201" s="287">
        <f t="shared" si="60"/>
        <v>1072.9106409582096</v>
      </c>
      <c r="F201" s="288">
        <f t="shared" si="61"/>
        <v>41.651613143999995</v>
      </c>
      <c r="G201" s="285">
        <f t="shared" si="63"/>
        <v>11.999998404664794</v>
      </c>
      <c r="H201" s="286">
        <f t="shared" si="64"/>
        <v>41.23</v>
      </c>
      <c r="I201" s="287">
        <f t="shared" si="65"/>
        <v>29.858377124159425</v>
      </c>
      <c r="J201" s="287">
        <f t="shared" si="66"/>
        <v>6.2561620227871684</v>
      </c>
      <c r="K201" s="288">
        <f t="shared" si="67"/>
        <v>0.22059599999999999</v>
      </c>
      <c r="L201" s="285">
        <f t="shared" si="53"/>
        <v>179.99995232481848</v>
      </c>
      <c r="M201" s="286">
        <f t="shared" si="54"/>
        <v>594.03750000000002</v>
      </c>
      <c r="N201" s="287">
        <f t="shared" si="55"/>
        <v>437.87897497868136</v>
      </c>
      <c r="O201" s="287">
        <f t="shared" si="56"/>
        <v>93.840661611426043</v>
      </c>
      <c r="P201" s="288">
        <f t="shared" si="57"/>
        <v>3.3089399999999998</v>
      </c>
    </row>
    <row r="202" spans="1:16" x14ac:dyDescent="0.3">
      <c r="A202" s="276">
        <f t="shared" si="52"/>
        <v>191</v>
      </c>
      <c r="B202" s="285">
        <f t="shared" si="62"/>
        <v>2148.0000176133508</v>
      </c>
      <c r="C202" s="286">
        <f t="shared" si="58"/>
        <v>3958.1885000000002</v>
      </c>
      <c r="D202" s="287">
        <f t="shared" si="59"/>
        <v>3375.797043481803</v>
      </c>
      <c r="E202" s="287">
        <f t="shared" si="60"/>
        <v>1079.1668087644725</v>
      </c>
      <c r="F202" s="288">
        <f t="shared" si="61"/>
        <v>41.872209143999996</v>
      </c>
      <c r="G202" s="285">
        <f t="shared" si="63"/>
        <v>11.999998532220754</v>
      </c>
      <c r="H202" s="286">
        <f t="shared" si="64"/>
        <v>41.447000000000003</v>
      </c>
      <c r="I202" s="287">
        <f t="shared" si="65"/>
        <v>29.944436417109298</v>
      </c>
      <c r="J202" s="287">
        <f t="shared" si="66"/>
        <v>6.2561734865222967</v>
      </c>
      <c r="K202" s="288">
        <f t="shared" si="67"/>
        <v>0.22059599999999999</v>
      </c>
      <c r="L202" s="285">
        <f t="shared" si="53"/>
        <v>179.99995613671553</v>
      </c>
      <c r="M202" s="286">
        <f t="shared" si="54"/>
        <v>597.29250000000002</v>
      </c>
      <c r="N202" s="287">
        <f t="shared" si="55"/>
        <v>439.22751520394161</v>
      </c>
      <c r="O202" s="287">
        <f t="shared" si="56"/>
        <v>93.840926587527619</v>
      </c>
      <c r="P202" s="288">
        <f t="shared" si="57"/>
        <v>3.3089399999999998</v>
      </c>
    </row>
    <row r="203" spans="1:16" x14ac:dyDescent="0.3">
      <c r="A203" s="276">
        <f t="shared" si="52"/>
        <v>192</v>
      </c>
      <c r="B203" s="285">
        <f t="shared" si="62"/>
        <v>2160.0000162050651</v>
      </c>
      <c r="C203" s="286">
        <f t="shared" ref="C203:C211" si="68">0.217*A203*A203/2</f>
        <v>3999.7440000000001</v>
      </c>
      <c r="D203" s="287">
        <f t="shared" ref="D203:D211" si="69">0.259*(172.9*A203-172.9*172.9*(1-EXP(-A203/172.9)))</f>
        <v>3405.7843026326873</v>
      </c>
      <c r="E203" s="287">
        <f t="shared" ref="E203:E211" si="70">0.338*(18.51*A203-18.51*18.51*(1-EXP(-A203/18.51)))</f>
        <v>1085.4229877303089</v>
      </c>
      <c r="F203" s="288">
        <f t="shared" ref="F203:F211" si="71">0.186*(1.186*A203-1.186*1.186*(1-EXP(-A203/1.186)))</f>
        <v>42.092805143999996</v>
      </c>
      <c r="G203" s="285">
        <f t="shared" si="63"/>
        <v>11.999998649577904</v>
      </c>
      <c r="H203" s="286">
        <f t="shared" si="64"/>
        <v>41.664000000000001</v>
      </c>
      <c r="I203" s="287">
        <f t="shared" si="65"/>
        <v>30.029999406404357</v>
      </c>
      <c r="J203" s="287">
        <f t="shared" si="66"/>
        <v>6.2561843473631074</v>
      </c>
      <c r="K203" s="288">
        <f t="shared" si="67"/>
        <v>0.22059599999999999</v>
      </c>
      <c r="L203" s="285">
        <f t="shared" si="53"/>
        <v>179.9999596438301</v>
      </c>
      <c r="M203" s="286">
        <f t="shared" si="54"/>
        <v>600.54750000000001</v>
      </c>
      <c r="N203" s="287">
        <f t="shared" si="55"/>
        <v>440.56827840222996</v>
      </c>
      <c r="O203" s="287">
        <f t="shared" si="56"/>
        <v>93.841177628154895</v>
      </c>
      <c r="P203" s="288">
        <f t="shared" si="57"/>
        <v>3.3089399999999998</v>
      </c>
    </row>
    <row r="204" spans="1:16" x14ac:dyDescent="0.3">
      <c r="A204" s="276">
        <f t="shared" si="52"/>
        <v>193</v>
      </c>
      <c r="B204" s="285">
        <f t="shared" si="62"/>
        <v>2172.0000149093798</v>
      </c>
      <c r="C204" s="286">
        <f t="shared" si="68"/>
        <v>4041.5165000000002</v>
      </c>
      <c r="D204" s="287">
        <f t="shared" si="69"/>
        <v>3435.8568778143031</v>
      </c>
      <c r="E204" s="287">
        <f t="shared" si="70"/>
        <v>1091.6791772688214</v>
      </c>
      <c r="F204" s="288">
        <f t="shared" si="71"/>
        <v>42.313401143999997</v>
      </c>
      <c r="G204" s="285">
        <f t="shared" si="63"/>
        <v>11.999998757551694</v>
      </c>
      <c r="H204" s="286">
        <f t="shared" si="64"/>
        <v>41.881</v>
      </c>
      <c r="I204" s="287">
        <f t="shared" si="65"/>
        <v>30.115068954226128</v>
      </c>
      <c r="J204" s="287">
        <f t="shared" si="66"/>
        <v>6.2561946370166792</v>
      </c>
      <c r="K204" s="288">
        <f t="shared" si="67"/>
        <v>0.22059599999999999</v>
      </c>
      <c r="L204" s="285">
        <f t="shared" si="53"/>
        <v>179.99996287053131</v>
      </c>
      <c r="M204" s="286">
        <f t="shared" si="54"/>
        <v>603.80250000000001</v>
      </c>
      <c r="N204" s="287">
        <f t="shared" si="55"/>
        <v>441.90130942363493</v>
      </c>
      <c r="O204" s="287">
        <f t="shared" si="56"/>
        <v>93.841415466194533</v>
      </c>
      <c r="P204" s="288">
        <f t="shared" si="57"/>
        <v>3.3089399999999998</v>
      </c>
    </row>
    <row r="205" spans="1:16" x14ac:dyDescent="0.3">
      <c r="A205" s="276">
        <f t="shared" si="52"/>
        <v>194</v>
      </c>
      <c r="B205" s="285">
        <f t="shared" si="62"/>
        <v>2184.0000137172915</v>
      </c>
      <c r="C205" s="286">
        <f t="shared" si="68"/>
        <v>4083.5059999999999</v>
      </c>
      <c r="D205" s="287">
        <f t="shared" si="69"/>
        <v>3466.0142770093867</v>
      </c>
      <c r="E205" s="287">
        <f t="shared" si="70"/>
        <v>1097.9353768239775</v>
      </c>
      <c r="F205" s="288">
        <f t="shared" si="71"/>
        <v>42.533997143999997</v>
      </c>
      <c r="G205" s="285">
        <f t="shared" si="63"/>
        <v>11.999998856892374</v>
      </c>
      <c r="H205" s="286">
        <f t="shared" si="64"/>
        <v>42.097999999999999</v>
      </c>
      <c r="I205" s="287">
        <f t="shared" si="65"/>
        <v>30.199647906249925</v>
      </c>
      <c r="J205" s="287">
        <f t="shared" si="66"/>
        <v>6.2562043855225706</v>
      </c>
      <c r="K205" s="288">
        <f t="shared" si="67"/>
        <v>0.22059599999999999</v>
      </c>
      <c r="L205" s="285">
        <f t="shared" si="53"/>
        <v>179.99996583923971</v>
      </c>
      <c r="M205" s="286">
        <f t="shared" si="54"/>
        <v>607.0575</v>
      </c>
      <c r="N205" s="287">
        <f t="shared" si="55"/>
        <v>443.22665285959465</v>
      </c>
      <c r="O205" s="287">
        <f t="shared" si="56"/>
        <v>93.841640795989591</v>
      </c>
      <c r="P205" s="288">
        <f t="shared" si="57"/>
        <v>3.3089399999999998</v>
      </c>
    </row>
    <row r="206" spans="1:16" x14ac:dyDescent="0.3">
      <c r="A206" s="276">
        <f t="shared" ref="A206:A269" si="72">A205+1</f>
        <v>195</v>
      </c>
      <c r="B206" s="285">
        <f t="shared" si="62"/>
        <v>2196.0000126205173</v>
      </c>
      <c r="C206" s="286">
        <f t="shared" si="68"/>
        <v>4125.7124999999996</v>
      </c>
      <c r="D206" s="287">
        <f t="shared" si="69"/>
        <v>3496.2560110381396</v>
      </c>
      <c r="E206" s="287">
        <f t="shared" si="70"/>
        <v>1104.1915858689872</v>
      </c>
      <c r="F206" s="288">
        <f t="shared" si="71"/>
        <v>42.754593143999998</v>
      </c>
      <c r="G206" s="285">
        <f t="shared" si="63"/>
        <v>11.999998948290214</v>
      </c>
      <c r="H206" s="286">
        <f t="shared" si="64"/>
        <v>42.314999999999998</v>
      </c>
      <c r="I206" s="287">
        <f t="shared" si="65"/>
        <v>30.283739091740081</v>
      </c>
      <c r="J206" s="287">
        <f t="shared" si="66"/>
        <v>6.2562136213405157</v>
      </c>
      <c r="K206" s="288">
        <f t="shared" si="67"/>
        <v>0.22059599999999999</v>
      </c>
      <c r="L206" s="285">
        <f t="shared" si="53"/>
        <v>179.99996857058329</v>
      </c>
      <c r="M206" s="286">
        <f t="shared" si="54"/>
        <v>610.3125</v>
      </c>
      <c r="N206" s="287">
        <f t="shared" si="55"/>
        <v>444.54435304438886</v>
      </c>
      <c r="O206" s="287">
        <f t="shared" si="56"/>
        <v>93.841854275366657</v>
      </c>
      <c r="P206" s="288">
        <f t="shared" si="57"/>
        <v>3.3089399999999998</v>
      </c>
    </row>
    <row r="207" spans="1:16" x14ac:dyDescent="0.3">
      <c r="A207" s="276">
        <f t="shared" si="72"/>
        <v>196</v>
      </c>
      <c r="B207" s="285">
        <f t="shared" si="62"/>
        <v>2208.0000116114365</v>
      </c>
      <c r="C207" s="286">
        <f t="shared" si="68"/>
        <v>4168.1359999999995</v>
      </c>
      <c r="D207" s="287">
        <f t="shared" si="69"/>
        <v>3526.5815935418541</v>
      </c>
      <c r="E207" s="287">
        <f t="shared" si="70"/>
        <v>1110.447803904766</v>
      </c>
      <c r="F207" s="288">
        <f t="shared" si="71"/>
        <v>42.975189143999998</v>
      </c>
      <c r="G207" s="285">
        <f t="shared" si="63"/>
        <v>11.999999032380284</v>
      </c>
      <c r="H207" s="286">
        <f t="shared" si="64"/>
        <v>42.531999999999996</v>
      </c>
      <c r="I207" s="287">
        <f t="shared" si="65"/>
        <v>30.367345323644571</v>
      </c>
      <c r="J207" s="287">
        <f t="shared" si="66"/>
        <v>6.2562223714335117</v>
      </c>
      <c r="K207" s="288">
        <f t="shared" si="67"/>
        <v>0.22059599999999999</v>
      </c>
      <c r="L207" s="285">
        <f t="shared" si="53"/>
        <v>179.99997108354069</v>
      </c>
      <c r="M207" s="286">
        <f t="shared" si="54"/>
        <v>613.5675</v>
      </c>
      <c r="N207" s="287">
        <f t="shared" si="55"/>
        <v>445.85445405662136</v>
      </c>
      <c r="O207" s="287">
        <f t="shared" si="56"/>
        <v>93.842056527556224</v>
      </c>
      <c r="P207" s="288">
        <f t="shared" si="57"/>
        <v>3.3089399999999998</v>
      </c>
    </row>
    <row r="208" spans="1:16" x14ac:dyDescent="0.3">
      <c r="A208" s="276">
        <f t="shared" si="72"/>
        <v>197</v>
      </c>
      <c r="B208" s="285">
        <f t="shared" si="62"/>
        <v>2220.0000106830375</v>
      </c>
      <c r="C208" s="286">
        <f t="shared" si="68"/>
        <v>4210.7764999999999</v>
      </c>
      <c r="D208" s="287">
        <f t="shared" si="69"/>
        <v>3556.9905409666549</v>
      </c>
      <c r="E208" s="287">
        <f t="shared" si="70"/>
        <v>1116.7040304584759</v>
      </c>
      <c r="F208" s="288">
        <f t="shared" si="71"/>
        <v>43.195785143999998</v>
      </c>
      <c r="G208" s="285">
        <f t="shared" si="63"/>
        <v>11.999999109746886</v>
      </c>
      <c r="H208" s="286">
        <f t="shared" si="64"/>
        <v>42.749000000000002</v>
      </c>
      <c r="I208" s="287">
        <f t="shared" si="65"/>
        <v>30.450469398689098</v>
      </c>
      <c r="J208" s="287">
        <f t="shared" si="66"/>
        <v>6.2562306613465326</v>
      </c>
      <c r="K208" s="288">
        <f t="shared" si="67"/>
        <v>0.22059599999999999</v>
      </c>
      <c r="L208" s="285">
        <f t="shared" si="53"/>
        <v>179.99997339557314</v>
      </c>
      <c r="M208" s="286">
        <f t="shared" si="54"/>
        <v>616.82249999999999</v>
      </c>
      <c r="N208" s="287">
        <f t="shared" si="55"/>
        <v>447.15699972069501</v>
      </c>
      <c r="O208" s="287">
        <f t="shared" si="56"/>
        <v>93.84224814301227</v>
      </c>
      <c r="P208" s="288">
        <f t="shared" si="57"/>
        <v>3.3089399999999998</v>
      </c>
    </row>
    <row r="209" spans="1:16" x14ac:dyDescent="0.3">
      <c r="A209" s="276">
        <f t="shared" si="72"/>
        <v>198</v>
      </c>
      <c r="B209" s="285">
        <f t="shared" si="62"/>
        <v>2232.0000098288688</v>
      </c>
      <c r="C209" s="286">
        <f t="shared" si="68"/>
        <v>4253.634</v>
      </c>
      <c r="D209" s="287">
        <f t="shared" si="69"/>
        <v>3587.4823725473229</v>
      </c>
      <c r="E209" s="287">
        <f t="shared" si="70"/>
        <v>1122.9602650821469</v>
      </c>
      <c r="F209" s="288">
        <f t="shared" si="71"/>
        <v>43.416381143999992</v>
      </c>
      <c r="G209" s="285">
        <f t="shared" si="63"/>
        <v>11.999999180927595</v>
      </c>
      <c r="H209" s="286">
        <f t="shared" si="64"/>
        <v>42.966000000000001</v>
      </c>
      <c r="I209" s="287">
        <f t="shared" si="65"/>
        <v>30.533114097470662</v>
      </c>
      <c r="J209" s="287">
        <f t="shared" si="66"/>
        <v>6.2562385152811055</v>
      </c>
      <c r="K209" s="288">
        <f t="shared" si="67"/>
        <v>0.22059599999999999</v>
      </c>
      <c r="L209" s="285">
        <f t="shared" si="53"/>
        <v>179.99997552274564</v>
      </c>
      <c r="M209" s="286">
        <f t="shared" si="54"/>
        <v>620.07749999999999</v>
      </c>
      <c r="N209" s="287">
        <f t="shared" si="55"/>
        <v>448.45203360827736</v>
      </c>
      <c r="O209" s="287">
        <f t="shared" si="56"/>
        <v>93.842429681135883</v>
      </c>
      <c r="P209" s="288">
        <f t="shared" si="57"/>
        <v>3.3089399999999998</v>
      </c>
    </row>
    <row r="210" spans="1:16" x14ac:dyDescent="0.3">
      <c r="A210" s="276">
        <f t="shared" si="72"/>
        <v>199</v>
      </c>
      <c r="B210" s="285">
        <f t="shared" si="62"/>
        <v>2244.0000090429958</v>
      </c>
      <c r="C210" s="286">
        <f t="shared" si="68"/>
        <v>4296.7084999999997</v>
      </c>
      <c r="D210" s="287">
        <f t="shared" si="69"/>
        <v>3618.0566102912057</v>
      </c>
      <c r="E210" s="287">
        <f t="shared" si="70"/>
        <v>1129.2165073513681</v>
      </c>
      <c r="F210" s="288">
        <f t="shared" si="71"/>
        <v>43.636977143999992</v>
      </c>
      <c r="G210" s="285">
        <f t="shared" si="63"/>
        <v>11.999999246417008</v>
      </c>
      <c r="H210" s="286">
        <f t="shared" si="64"/>
        <v>43.183</v>
      </c>
      <c r="I210" s="287">
        <f t="shared" si="65"/>
        <v>30.615282184550569</v>
      </c>
      <c r="J210" s="287">
        <f t="shared" si="66"/>
        <v>6.2562459561659622</v>
      </c>
      <c r="K210" s="288">
        <f t="shared" si="67"/>
        <v>0.22059599999999999</v>
      </c>
      <c r="L210" s="285">
        <f t="shared" si="53"/>
        <v>179.99997747983886</v>
      </c>
      <c r="M210" s="286">
        <f t="shared" si="54"/>
        <v>623.33249999999998</v>
      </c>
      <c r="N210" s="287">
        <f t="shared" si="55"/>
        <v>449.73959903975828</v>
      </c>
      <c r="O210" s="287">
        <f t="shared" si="56"/>
        <v>93.842601671908497</v>
      </c>
      <c r="P210" s="288">
        <f t="shared" si="57"/>
        <v>3.3089399999999998</v>
      </c>
    </row>
    <row r="211" spans="1:16" x14ac:dyDescent="0.3">
      <c r="A211" s="276">
        <f t="shared" si="72"/>
        <v>200</v>
      </c>
      <c r="B211" s="285">
        <f t="shared" si="62"/>
        <v>2256.0000083199579</v>
      </c>
      <c r="C211" s="286">
        <f t="shared" si="68"/>
        <v>4340</v>
      </c>
      <c r="D211" s="287">
        <f t="shared" si="69"/>
        <v>3648.7127789622382</v>
      </c>
      <c r="E211" s="287">
        <f t="shared" si="70"/>
        <v>1135.4727568640494</v>
      </c>
      <c r="F211" s="288">
        <f t="shared" si="71"/>
        <v>43.857573143999993</v>
      </c>
      <c r="G211" s="285">
        <f t="shared" si="63"/>
        <v>11.999999306670176</v>
      </c>
      <c r="H211" s="286">
        <f t="shared" si="64"/>
        <v>43.4</v>
      </c>
      <c r="I211" s="287">
        <f t="shared" si="65"/>
        <v>30.696976408546917</v>
      </c>
      <c r="J211" s="287">
        <f t="shared" si="66"/>
        <v>6.2562530057239831</v>
      </c>
      <c r="K211" s="288">
        <f t="shared" si="67"/>
        <v>0.22059599999999999</v>
      </c>
      <c r="L211" s="285">
        <f t="shared" si="53"/>
        <v>179.99997928045153</v>
      </c>
      <c r="M211" s="286">
        <f t="shared" si="54"/>
        <v>626.58749999999998</v>
      </c>
      <c r="N211" s="287">
        <f t="shared" si="55"/>
        <v>451.01973908569914</v>
      </c>
      <c r="O211" s="287">
        <f t="shared" si="56"/>
        <v>93.842764617439002</v>
      </c>
      <c r="P211" s="288">
        <f t="shared" si="57"/>
        <v>3.3089399999999998</v>
      </c>
    </row>
    <row r="212" spans="1:16" s="102" customFormat="1" x14ac:dyDescent="0.3">
      <c r="A212" s="102">
        <f t="shared" si="72"/>
        <v>201</v>
      </c>
      <c r="B212" s="287">
        <f t="shared" ref="B212:B261" si="73">12*A212-12*12*(1-EXP(-A212/12))</f>
        <v>2268.0000076547308</v>
      </c>
      <c r="C212" s="287">
        <f t="shared" ref="C212:C261" si="74">0.217*A212*A212/2</f>
        <v>4383.5084999999999</v>
      </c>
      <c r="D212" s="287">
        <f t="shared" ref="D212:D261" si="75">0.259*(172.9*A212-172.9*172.9*(1-EXP(-A212/172.9)))</f>
        <v>3679.4504060650365</v>
      </c>
      <c r="E212" s="287">
        <f t="shared" ref="E212:E261" si="76">0.338*(18.51*A212-18.51*18.51*(1-EXP(-A212/18.51)))</f>
        <v>1141.7290132392459</v>
      </c>
      <c r="F212" s="287">
        <f t="shared" ref="F212:F261" si="77">0.186*(1.186*A212-1.186*1.186*(1-EXP(-A212/1.186)))</f>
        <v>44.078169144</v>
      </c>
      <c r="G212" s="287">
        <f t="shared" ref="G212:G261" si="78">12*(1-EXP(-A212/12))</f>
        <v>11.999999362105768</v>
      </c>
      <c r="H212" s="287">
        <f t="shared" ref="H212:H261" si="79">0.217*A212</f>
        <v>43.616999999999997</v>
      </c>
      <c r="I212" s="287">
        <f t="shared" ref="I212:I261" si="80">0.259*172.9*(1-EXP(-A212/172.9))</f>
        <v>30.77819950222651</v>
      </c>
      <c r="J212" s="287">
        <f t="shared" ref="J212:J261" si="81">0.338*18.51*(1-EXP(-A212/18.51))</f>
        <v>6.2562596845356087</v>
      </c>
      <c r="K212" s="287">
        <f t="shared" ref="K212:K261" si="82">0.186*1.186*(1-EXP(-A212/1.186))</f>
        <v>0.22059599999999999</v>
      </c>
      <c r="L212" s="287">
        <f t="shared" ref="L212:L261" si="83">12*15-12*12*EXP(-A212/12)*(EXP(15/12)-1)</f>
        <v>179.99998093709513</v>
      </c>
      <c r="M212" s="287">
        <f t="shared" ref="M212:M261" si="84">0.217*(15*A212-15*15/2)</f>
        <v>629.84249999999997</v>
      </c>
      <c r="N212" s="287">
        <f t="shared" ref="N212:N261" si="85">0.259*(172.9*15-172.9*172.9*EXP(-A212/172.9)*(EXP(15/172.9)-1))</f>
        <v>452.29249656827363</v>
      </c>
      <c r="O212" s="287">
        <f t="shared" ref="O212:O261" si="86">0.338*(18.51*15-18.51*18.51*EXP(-A212/18.51)*(EXP(15/18.51)-1))</f>
        <v>93.842918993429691</v>
      </c>
      <c r="P212" s="288">
        <f t="shared" ref="P212:P261" si="87">0.186*(1.186*15-1.186*1.186*EXP(-A212/1.186)*(EXP(15/1.186)-1))</f>
        <v>3.3089399999999998</v>
      </c>
    </row>
    <row r="213" spans="1:16" s="102" customFormat="1" x14ac:dyDescent="0.3">
      <c r="A213" s="102">
        <f t="shared" si="72"/>
        <v>202</v>
      </c>
      <c r="B213" s="287">
        <f t="shared" si="73"/>
        <v>2280.0000070426922</v>
      </c>
      <c r="C213" s="287">
        <f t="shared" si="74"/>
        <v>4427.2340000000004</v>
      </c>
      <c r="D213" s="287">
        <f t="shared" si="75"/>
        <v>3710.2690218290954</v>
      </c>
      <c r="E213" s="287">
        <f t="shared" si="76"/>
        <v>1147.9852761160491</v>
      </c>
      <c r="F213" s="287">
        <f t="shared" si="77"/>
        <v>44.298765144000001</v>
      </c>
      <c r="G213" s="287">
        <f t="shared" si="78"/>
        <v>11.999999413108977</v>
      </c>
      <c r="H213" s="287">
        <f t="shared" si="79"/>
        <v>43.834000000000003</v>
      </c>
      <c r="I213" s="287">
        <f t="shared" si="80"/>
        <v>30.858954182596328</v>
      </c>
      <c r="J213" s="287">
        <f t="shared" si="81"/>
        <v>6.2562660120989237</v>
      </c>
      <c r="K213" s="287">
        <f t="shared" si="82"/>
        <v>0.22059599999999999</v>
      </c>
      <c r="L213" s="287">
        <f t="shared" si="83"/>
        <v>179.99998246128087</v>
      </c>
      <c r="M213" s="287">
        <f t="shared" si="84"/>
        <v>633.09749999999997</v>
      </c>
      <c r="N213" s="287">
        <f t="shared" si="85"/>
        <v>453.55791406269998</v>
      </c>
      <c r="O213" s="287">
        <f t="shared" si="86"/>
        <v>93.843065250565004</v>
      </c>
      <c r="P213" s="288">
        <f t="shared" si="87"/>
        <v>3.3089399999999998</v>
      </c>
    </row>
    <row r="214" spans="1:16" s="102" customFormat="1" x14ac:dyDescent="0.3">
      <c r="A214" s="102">
        <f t="shared" si="72"/>
        <v>203</v>
      </c>
      <c r="B214" s="287">
        <f t="shared" si="73"/>
        <v>2292.0000064795895</v>
      </c>
      <c r="C214" s="287">
        <f t="shared" si="74"/>
        <v>4471.1765000000005</v>
      </c>
      <c r="D214" s="287">
        <f t="shared" si="75"/>
        <v>3741.1681591930787</v>
      </c>
      <c r="E214" s="287">
        <f t="shared" si="76"/>
        <v>1154.2415451525294</v>
      </c>
      <c r="F214" s="287">
        <f t="shared" si="77"/>
        <v>44.519361143999994</v>
      </c>
      <c r="G214" s="287">
        <f t="shared" si="78"/>
        <v>11.999999460034193</v>
      </c>
      <c r="H214" s="287">
        <f t="shared" si="79"/>
        <v>44.051000000000002</v>
      </c>
      <c r="I214" s="287">
        <f t="shared" si="80"/>
        <v>30.939243150994344</v>
      </c>
      <c r="J214" s="287">
        <f t="shared" si="81"/>
        <v>6.2562720068865847</v>
      </c>
      <c r="K214" s="287">
        <f t="shared" si="82"/>
        <v>0.22059599999999999</v>
      </c>
      <c r="L214" s="287">
        <f t="shared" si="83"/>
        <v>179.99998386359943</v>
      </c>
      <c r="M214" s="287">
        <f t="shared" si="84"/>
        <v>636.35249999999996</v>
      </c>
      <c r="N214" s="287">
        <f t="shared" si="85"/>
        <v>454.8160338986653</v>
      </c>
      <c r="O214" s="287">
        <f t="shared" si="86"/>
        <v>93.843203815827209</v>
      </c>
      <c r="P214" s="288">
        <f t="shared" si="87"/>
        <v>3.3089399999999998</v>
      </c>
    </row>
    <row r="215" spans="1:16" s="102" customFormat="1" x14ac:dyDescent="0.3">
      <c r="A215" s="102">
        <f t="shared" si="72"/>
        <v>204</v>
      </c>
      <c r="B215" s="287">
        <f t="shared" si="73"/>
        <v>2304.0000059615104</v>
      </c>
      <c r="C215" s="287">
        <f t="shared" si="74"/>
        <v>4515.3360000000002</v>
      </c>
      <c r="D215" s="287">
        <f t="shared" si="75"/>
        <v>3772.1473537891843</v>
      </c>
      <c r="E215" s="287">
        <f t="shared" si="76"/>
        <v>1160.497820024741</v>
      </c>
      <c r="F215" s="287">
        <f t="shared" si="77"/>
        <v>44.739957143999995</v>
      </c>
      <c r="G215" s="287">
        <f t="shared" si="78"/>
        <v>11.999999503207475</v>
      </c>
      <c r="H215" s="287">
        <f t="shared" si="79"/>
        <v>44.268000000000001</v>
      </c>
      <c r="I215" s="287">
        <f t="shared" si="80"/>
        <v>31.019069093179958</v>
      </c>
      <c r="J215" s="287">
        <f t="shared" si="81"/>
        <v>6.2562776863997405</v>
      </c>
      <c r="K215" s="287">
        <f t="shared" si="82"/>
        <v>0.22059599999999999</v>
      </c>
      <c r="L215" s="287">
        <f t="shared" si="83"/>
        <v>179.99998515379477</v>
      </c>
      <c r="M215" s="287">
        <f t="shared" si="84"/>
        <v>639.60749999999996</v>
      </c>
      <c r="N215" s="287">
        <f t="shared" si="85"/>
        <v>456.06689816174145</v>
      </c>
      <c r="O215" s="287">
        <f t="shared" si="86"/>
        <v>93.843335093742994</v>
      </c>
      <c r="P215" s="288">
        <f t="shared" si="87"/>
        <v>3.3089399999999998</v>
      </c>
    </row>
    <row r="216" spans="1:16" s="102" customFormat="1" x14ac:dyDescent="0.3">
      <c r="A216" s="102">
        <f t="shared" si="72"/>
        <v>205</v>
      </c>
      <c r="B216" s="287">
        <f t="shared" si="73"/>
        <v>2316.0000054848542</v>
      </c>
      <c r="C216" s="287">
        <f t="shared" si="74"/>
        <v>4559.7124999999996</v>
      </c>
      <c r="D216" s="287">
        <f t="shared" si="75"/>
        <v>3803.2061439276281</v>
      </c>
      <c r="E216" s="287">
        <f t="shared" si="76"/>
        <v>1166.7541004257741</v>
      </c>
      <c r="F216" s="287">
        <f t="shared" si="77"/>
        <v>44.960553143999995</v>
      </c>
      <c r="G216" s="287">
        <f t="shared" si="78"/>
        <v>11.999999542928812</v>
      </c>
      <c r="H216" s="287">
        <f t="shared" si="79"/>
        <v>44.484999999999999</v>
      </c>
      <c r="I216" s="287">
        <f t="shared" si="80"/>
        <v>31.098434679423782</v>
      </c>
      <c r="J216" s="287">
        <f t="shared" si="81"/>
        <v>6.2562830672191305</v>
      </c>
      <c r="K216" s="287">
        <f t="shared" si="82"/>
        <v>0.22059599999999999</v>
      </c>
      <c r="L216" s="287">
        <f t="shared" si="83"/>
        <v>179.99998634083181</v>
      </c>
      <c r="M216" s="287">
        <f t="shared" si="84"/>
        <v>642.86249999999995</v>
      </c>
      <c r="N216" s="287">
        <f t="shared" si="85"/>
        <v>457.31054869479311</v>
      </c>
      <c r="O216" s="287">
        <f t="shared" si="86"/>
        <v>93.843459467564387</v>
      </c>
      <c r="P216" s="288">
        <f t="shared" si="87"/>
        <v>3.3089399999999998</v>
      </c>
    </row>
    <row r="217" spans="1:16" s="102" customFormat="1" x14ac:dyDescent="0.3">
      <c r="A217" s="102">
        <f t="shared" si="72"/>
        <v>206</v>
      </c>
      <c r="B217" s="287">
        <f t="shared" si="73"/>
        <v>2328.0000050463095</v>
      </c>
      <c r="C217" s="287">
        <f t="shared" si="74"/>
        <v>4604.3059999999996</v>
      </c>
      <c r="D217" s="287">
        <f t="shared" si="75"/>
        <v>3834.3440705811804</v>
      </c>
      <c r="E217" s="287">
        <f t="shared" si="76"/>
        <v>1173.0103860648601</v>
      </c>
      <c r="F217" s="287">
        <f t="shared" si="77"/>
        <v>45.181149143999995</v>
      </c>
      <c r="G217" s="287">
        <f t="shared" si="78"/>
        <v>11.999999579474206</v>
      </c>
      <c r="H217" s="287">
        <f t="shared" si="79"/>
        <v>44.701999999999998</v>
      </c>
      <c r="I217" s="287">
        <f t="shared" si="80"/>
        <v>31.177342564596991</v>
      </c>
      <c r="J217" s="287">
        <f t="shared" si="81"/>
        <v>6.2562881650534905</v>
      </c>
      <c r="K217" s="287">
        <f t="shared" si="82"/>
        <v>0.22059599999999999</v>
      </c>
      <c r="L217" s="287">
        <f t="shared" si="83"/>
        <v>179.99998743295859</v>
      </c>
      <c r="M217" s="287">
        <f t="shared" si="84"/>
        <v>646.11749999999995</v>
      </c>
      <c r="N217" s="287">
        <f t="shared" si="85"/>
        <v>458.54702709937726</v>
      </c>
      <c r="O217" s="287">
        <f t="shared" si="86"/>
        <v>93.843577300387622</v>
      </c>
      <c r="P217" s="288">
        <f t="shared" si="87"/>
        <v>3.3089399999999998</v>
      </c>
    </row>
    <row r="218" spans="1:16" s="102" customFormat="1" x14ac:dyDescent="0.3">
      <c r="A218" s="102">
        <f t="shared" si="72"/>
        <v>207</v>
      </c>
      <c r="B218" s="287">
        <f t="shared" si="73"/>
        <v>2340.000004642829</v>
      </c>
      <c r="C218" s="287">
        <f t="shared" si="74"/>
        <v>4649.1165000000001</v>
      </c>
      <c r="D218" s="287">
        <f t="shared" si="75"/>
        <v>3865.5606773698219</v>
      </c>
      <c r="E218" s="287">
        <f t="shared" si="76"/>
        <v>1179.2666766665222</v>
      </c>
      <c r="F218" s="287">
        <f t="shared" si="77"/>
        <v>45.401745143999996</v>
      </c>
      <c r="G218" s="287">
        <f t="shared" si="78"/>
        <v>11.999999613097591</v>
      </c>
      <c r="H218" s="287">
        <f t="shared" si="79"/>
        <v>44.918999999999997</v>
      </c>
      <c r="I218" s="287">
        <f t="shared" si="80"/>
        <v>31.255795388260143</v>
      </c>
      <c r="J218" s="287">
        <f t="shared" si="81"/>
        <v>6.2562929947854089</v>
      </c>
      <c r="K218" s="287">
        <f t="shared" si="82"/>
        <v>0.22059599999999999</v>
      </c>
      <c r="L218" s="287">
        <f t="shared" si="83"/>
        <v>179.99998843776373</v>
      </c>
      <c r="M218" s="287">
        <f t="shared" si="84"/>
        <v>649.37249999999995</v>
      </c>
      <c r="N218" s="287">
        <f t="shared" si="85"/>
        <v>459.77637473713486</v>
      </c>
      <c r="O218" s="287">
        <f t="shared" si="86"/>
        <v>93.843688936213212</v>
      </c>
      <c r="P218" s="288">
        <f t="shared" si="87"/>
        <v>3.3089399999999998</v>
      </c>
    </row>
    <row r="219" spans="1:16" s="102" customFormat="1" x14ac:dyDescent="0.3">
      <c r="A219" s="102">
        <f t="shared" si="72"/>
        <v>208</v>
      </c>
      <c r="B219" s="287">
        <f t="shared" si="73"/>
        <v>2352.0000042716088</v>
      </c>
      <c r="C219" s="287">
        <f t="shared" si="74"/>
        <v>4694.1440000000002</v>
      </c>
      <c r="D219" s="287">
        <f t="shared" si="75"/>
        <v>3896.855510545478</v>
      </c>
      <c r="E219" s="287">
        <f t="shared" si="76"/>
        <v>1185.5229719697716</v>
      </c>
      <c r="F219" s="287">
        <f t="shared" si="77"/>
        <v>45.622341143999996</v>
      </c>
      <c r="G219" s="287">
        <f t="shared" si="78"/>
        <v>11.9999996440326</v>
      </c>
      <c r="H219" s="287">
        <f t="shared" si="79"/>
        <v>45.136000000000003</v>
      </c>
      <c r="I219" s="287">
        <f t="shared" si="80"/>
        <v>31.333795774751433</v>
      </c>
      <c r="J219" s="287">
        <f t="shared" si="81"/>
        <v>6.2562975705147794</v>
      </c>
      <c r="K219" s="287">
        <f t="shared" si="82"/>
        <v>0.22059599999999999</v>
      </c>
      <c r="L219" s="287">
        <f t="shared" si="83"/>
        <v>179.99998936222912</v>
      </c>
      <c r="M219" s="287">
        <f t="shared" si="84"/>
        <v>652.62749999999994</v>
      </c>
      <c r="N219" s="287">
        <f t="shared" si="85"/>
        <v>460.9986327311741</v>
      </c>
      <c r="O219" s="287">
        <f t="shared" si="86"/>
        <v>93.843794700950184</v>
      </c>
      <c r="P219" s="288">
        <f t="shared" si="87"/>
        <v>3.3089399999999998</v>
      </c>
    </row>
    <row r="220" spans="1:16" s="102" customFormat="1" x14ac:dyDescent="0.3">
      <c r="A220" s="102">
        <f t="shared" si="72"/>
        <v>209</v>
      </c>
      <c r="B220" s="287">
        <f t="shared" si="73"/>
        <v>2364.0000039300699</v>
      </c>
      <c r="C220" s="287">
        <f t="shared" si="74"/>
        <v>4739.3885</v>
      </c>
      <c r="D220" s="287">
        <f t="shared" si="75"/>
        <v>3928.228118976835</v>
      </c>
      <c r="E220" s="287">
        <f t="shared" si="76"/>
        <v>1191.7792717273448</v>
      </c>
      <c r="F220" s="287">
        <f t="shared" si="77"/>
        <v>45.842937143999997</v>
      </c>
      <c r="G220" s="287">
        <f t="shared" si="78"/>
        <v>11.999999672494182</v>
      </c>
      <c r="H220" s="287">
        <f t="shared" si="79"/>
        <v>45.353000000000002</v>
      </c>
      <c r="I220" s="287">
        <f t="shared" si="80"/>
        <v>31.411346333274519</v>
      </c>
      <c r="J220" s="287">
        <f t="shared" si="81"/>
        <v>6.2563019055999618</v>
      </c>
      <c r="K220" s="287">
        <f t="shared" si="82"/>
        <v>0.22059599999999999</v>
      </c>
      <c r="L220" s="287">
        <f t="shared" si="83"/>
        <v>179.9999902127783</v>
      </c>
      <c r="M220" s="287">
        <f t="shared" si="84"/>
        <v>655.88250000000005</v>
      </c>
      <c r="N220" s="287">
        <f t="shared" si="85"/>
        <v>462.2138419674468</v>
      </c>
      <c r="O220" s="287">
        <f t="shared" si="86"/>
        <v>93.843894903367499</v>
      </c>
      <c r="P220" s="288">
        <f t="shared" si="87"/>
        <v>3.3089399999999998</v>
      </c>
    </row>
    <row r="221" spans="1:16" s="102" customFormat="1" x14ac:dyDescent="0.3">
      <c r="A221" s="102">
        <f t="shared" si="72"/>
        <v>210</v>
      </c>
      <c r="B221" s="287">
        <f t="shared" si="73"/>
        <v>2376.000003615839</v>
      </c>
      <c r="C221" s="287">
        <f t="shared" si="74"/>
        <v>4784.8500000000004</v>
      </c>
      <c r="D221" s="287">
        <f t="shared" si="75"/>
        <v>3959.6780541342555</v>
      </c>
      <c r="E221" s="287">
        <f t="shared" si="76"/>
        <v>1198.0355757049829</v>
      </c>
      <c r="F221" s="287">
        <f t="shared" si="77"/>
        <v>46.063533143999997</v>
      </c>
      <c r="G221" s="287">
        <f t="shared" si="78"/>
        <v>11.999999698680101</v>
      </c>
      <c r="H221" s="287">
        <f t="shared" si="79"/>
        <v>45.57</v>
      </c>
      <c r="I221" s="287">
        <f t="shared" si="80"/>
        <v>31.488449657985797</v>
      </c>
      <c r="J221" s="287">
        <f t="shared" si="81"/>
        <v>6.2563060126967782</v>
      </c>
      <c r="K221" s="287">
        <f t="shared" si="82"/>
        <v>0.22059599999999999</v>
      </c>
      <c r="L221" s="287">
        <f t="shared" si="83"/>
        <v>179.99999099532135</v>
      </c>
      <c r="M221" s="287">
        <f t="shared" si="84"/>
        <v>659.13750000000005</v>
      </c>
      <c r="N221" s="287">
        <f t="shared" si="85"/>
        <v>463.42204309611549</v>
      </c>
      <c r="O221" s="287">
        <f t="shared" si="86"/>
        <v>93.843989835995572</v>
      </c>
      <c r="P221" s="288">
        <f t="shared" si="87"/>
        <v>3.3089399999999998</v>
      </c>
    </row>
    <row r="222" spans="1:16" s="102" customFormat="1" x14ac:dyDescent="0.3">
      <c r="A222" s="102">
        <f t="shared" si="72"/>
        <v>211</v>
      </c>
      <c r="B222" s="287">
        <f t="shared" si="73"/>
        <v>2388.0000033267324</v>
      </c>
      <c r="C222" s="287">
        <f t="shared" si="74"/>
        <v>4830.5285000000003</v>
      </c>
      <c r="D222" s="287">
        <f t="shared" si="75"/>
        <v>3991.2048700747673</v>
      </c>
      <c r="E222" s="287">
        <f t="shared" si="76"/>
        <v>1204.2918836807462</v>
      </c>
      <c r="F222" s="287">
        <f t="shared" si="77"/>
        <v>46.284129143999998</v>
      </c>
      <c r="G222" s="287">
        <f t="shared" si="78"/>
        <v>11.99999972277231</v>
      </c>
      <c r="H222" s="287">
        <f t="shared" si="79"/>
        <v>45.786999999999999</v>
      </c>
      <c r="I222" s="287">
        <f t="shared" si="80"/>
        <v>31.565108328081163</v>
      </c>
      <c r="J222" s="287">
        <f t="shared" si="81"/>
        <v>6.2563099037954677</v>
      </c>
      <c r="K222" s="287">
        <f t="shared" si="82"/>
        <v>0.22059599999999999</v>
      </c>
      <c r="L222" s="287">
        <f t="shared" si="83"/>
        <v>179.99999171529569</v>
      </c>
      <c r="M222" s="287">
        <f t="shared" si="84"/>
        <v>662.39250000000004</v>
      </c>
      <c r="N222" s="287">
        <f t="shared" si="85"/>
        <v>464.62327653291322</v>
      </c>
      <c r="O222" s="287">
        <f t="shared" si="86"/>
        <v>93.844079775980219</v>
      </c>
      <c r="P222" s="288">
        <f t="shared" si="87"/>
        <v>3.3089399999999998</v>
      </c>
    </row>
    <row r="223" spans="1:16" s="102" customFormat="1" x14ac:dyDescent="0.3">
      <c r="A223" s="102">
        <f t="shared" si="72"/>
        <v>212</v>
      </c>
      <c r="B223" s="287">
        <f t="shared" si="73"/>
        <v>2400.0000030607416</v>
      </c>
      <c r="C223" s="287">
        <f t="shared" si="74"/>
        <v>4876.424</v>
      </c>
      <c r="D223" s="287">
        <f t="shared" si="75"/>
        <v>4022.8081234271513</v>
      </c>
      <c r="E223" s="287">
        <f t="shared" si="76"/>
        <v>1210.5481954443676</v>
      </c>
      <c r="F223" s="287">
        <f t="shared" si="77"/>
        <v>46.504725143999998</v>
      </c>
      <c r="G223" s="287">
        <f t="shared" si="78"/>
        <v>11.999999744938211</v>
      </c>
      <c r="H223" s="287">
        <f t="shared" si="79"/>
        <v>46.003999999999998</v>
      </c>
      <c r="I223" s="287">
        <f t="shared" si="80"/>
        <v>31.6413249078823</v>
      </c>
      <c r="J223" s="287">
        <f t="shared" si="81"/>
        <v>6.2563135902556795</v>
      </c>
      <c r="K223" s="287">
        <f t="shared" si="82"/>
        <v>0.22059599999999999</v>
      </c>
      <c r="L223" s="287">
        <f t="shared" si="83"/>
        <v>179.99999237770407</v>
      </c>
      <c r="M223" s="287">
        <f t="shared" si="84"/>
        <v>665.64750000000004</v>
      </c>
      <c r="N223" s="287">
        <f t="shared" si="85"/>
        <v>465.81758246049571</v>
      </c>
      <c r="O223" s="287">
        <f t="shared" si="86"/>
        <v>93.844164985891723</v>
      </c>
      <c r="P223" s="288">
        <f t="shared" si="87"/>
        <v>3.3089399999999998</v>
      </c>
    </row>
    <row r="224" spans="1:16" s="102" customFormat="1" x14ac:dyDescent="0.3">
      <c r="A224" s="102">
        <f t="shared" si="72"/>
        <v>213</v>
      </c>
      <c r="B224" s="287">
        <f t="shared" si="73"/>
        <v>2412.000002816018</v>
      </c>
      <c r="C224" s="287">
        <f t="shared" si="74"/>
        <v>4922.5364999999993</v>
      </c>
      <c r="D224" s="287">
        <f t="shared" si="75"/>
        <v>4054.4873733771087</v>
      </c>
      <c r="E224" s="287">
        <f t="shared" si="76"/>
        <v>1216.8045107966384</v>
      </c>
      <c r="F224" s="287">
        <f t="shared" si="77"/>
        <v>46.725321143999999</v>
      </c>
      <c r="G224" s="287">
        <f t="shared" si="78"/>
        <v>11.999999765331827</v>
      </c>
      <c r="H224" s="287">
        <f t="shared" si="79"/>
        <v>46.220999999999997</v>
      </c>
      <c r="I224" s="287">
        <f t="shared" si="80"/>
        <v>31.717101946922451</v>
      </c>
      <c r="J224" s="287">
        <f t="shared" si="81"/>
        <v>6.2563170828396473</v>
      </c>
      <c r="K224" s="287">
        <f t="shared" si="82"/>
        <v>0.22059599999999999</v>
      </c>
      <c r="L224" s="287">
        <f t="shared" si="83"/>
        <v>179.99999298714923</v>
      </c>
      <c r="M224" s="287">
        <f t="shared" si="84"/>
        <v>668.90250000000003</v>
      </c>
      <c r="N224" s="287">
        <f t="shared" si="85"/>
        <v>467.00500082978539</v>
      </c>
      <c r="O224" s="287">
        <f t="shared" si="86"/>
        <v>93.844245714491407</v>
      </c>
      <c r="P224" s="288">
        <f t="shared" si="87"/>
        <v>3.3089399999999998</v>
      </c>
    </row>
    <row r="225" spans="1:16" s="102" customFormat="1" x14ac:dyDescent="0.3">
      <c r="A225" s="102">
        <f t="shared" si="72"/>
        <v>214</v>
      </c>
      <c r="B225" s="287">
        <f t="shared" si="73"/>
        <v>2424.0000025908616</v>
      </c>
      <c r="C225" s="287">
        <f t="shared" si="74"/>
        <v>4968.866</v>
      </c>
      <c r="D225" s="287">
        <f t="shared" si="75"/>
        <v>4086.2421816525143</v>
      </c>
      <c r="E225" s="287">
        <f t="shared" si="76"/>
        <v>1223.0608295488262</v>
      </c>
      <c r="F225" s="287">
        <f t="shared" si="77"/>
        <v>46.945917143999992</v>
      </c>
      <c r="G225" s="287">
        <f t="shared" si="78"/>
        <v>11.999999784094857</v>
      </c>
      <c r="H225" s="287">
        <f t="shared" si="79"/>
        <v>46.438000000000002</v>
      </c>
      <c r="I225" s="287">
        <f t="shared" si="80"/>
        <v>31.792441980031722</v>
      </c>
      <c r="J225" s="287">
        <f t="shared" si="81"/>
        <v>6.2563203917436008</v>
      </c>
      <c r="K225" s="287">
        <f t="shared" si="82"/>
        <v>0.22059599999999999</v>
      </c>
      <c r="L225" s="287">
        <f t="shared" si="83"/>
        <v>179.99999354786581</v>
      </c>
      <c r="M225" s="287">
        <f t="shared" si="84"/>
        <v>672.15750000000003</v>
      </c>
      <c r="N225" s="287">
        <f t="shared" si="85"/>
        <v>468.18557136130812</v>
      </c>
      <c r="O225" s="287">
        <f t="shared" si="86"/>
        <v>93.844322197457927</v>
      </c>
      <c r="P225" s="288">
        <f t="shared" si="87"/>
        <v>3.3089399999999998</v>
      </c>
    </row>
    <row r="226" spans="1:16" s="102" customFormat="1" x14ac:dyDescent="0.3">
      <c r="A226" s="102">
        <f t="shared" si="72"/>
        <v>215</v>
      </c>
      <c r="B226" s="287">
        <f t="shared" si="73"/>
        <v>2436.0000023837079</v>
      </c>
      <c r="C226" s="287">
        <f t="shared" si="74"/>
        <v>5015.4125000000004</v>
      </c>
      <c r="D226" s="287">
        <f t="shared" si="75"/>
        <v>4118.0721125087593</v>
      </c>
      <c r="E226" s="287">
        <f t="shared" si="76"/>
        <v>1229.3171515221245</v>
      </c>
      <c r="F226" s="287">
        <f t="shared" si="77"/>
        <v>47.166513143999993</v>
      </c>
      <c r="G226" s="287">
        <f t="shared" si="78"/>
        <v>11.99999980135768</v>
      </c>
      <c r="H226" s="287">
        <f t="shared" si="79"/>
        <v>46.655000000000001</v>
      </c>
      <c r="I226" s="287">
        <f t="shared" si="80"/>
        <v>31.867347527421863</v>
      </c>
      <c r="J226" s="287">
        <f t="shared" si="81"/>
        <v>6.2563235266275372</v>
      </c>
      <c r="K226" s="287">
        <f t="shared" si="82"/>
        <v>0.22059599999999999</v>
      </c>
      <c r="L226" s="287">
        <f t="shared" si="83"/>
        <v>179.99999406374997</v>
      </c>
      <c r="M226" s="287">
        <f t="shared" si="84"/>
        <v>675.41250000000002</v>
      </c>
      <c r="N226" s="287">
        <f t="shared" si="85"/>
        <v>469.35933354652127</v>
      </c>
      <c r="O226" s="287">
        <f t="shared" si="86"/>
        <v>93.844394658075245</v>
      </c>
      <c r="P226" s="288">
        <f t="shared" si="87"/>
        <v>3.3089399999999998</v>
      </c>
    </row>
    <row r="227" spans="1:16" s="102" customFormat="1" x14ac:dyDescent="0.3">
      <c r="A227" s="102">
        <f t="shared" si="72"/>
        <v>216</v>
      </c>
      <c r="B227" s="287">
        <f t="shared" si="73"/>
        <v>2448.0000021931169</v>
      </c>
      <c r="C227" s="287">
        <f t="shared" si="74"/>
        <v>5062.1760000000004</v>
      </c>
      <c r="D227" s="287">
        <f t="shared" si="75"/>
        <v>4149.9767327141726</v>
      </c>
      <c r="E227" s="287">
        <f t="shared" si="76"/>
        <v>1235.5734765471304</v>
      </c>
      <c r="F227" s="287">
        <f t="shared" si="77"/>
        <v>47.387109143999993</v>
      </c>
      <c r="G227" s="287">
        <f t="shared" si="78"/>
        <v>11.999999817240244</v>
      </c>
      <c r="H227" s="287">
        <f t="shared" si="79"/>
        <v>46.872</v>
      </c>
      <c r="I227" s="287">
        <f t="shared" si="80"/>
        <v>31.941821094770546</v>
      </c>
      <c r="J227" s="287">
        <f t="shared" si="81"/>
        <v>6.2563264966434176</v>
      </c>
      <c r="K227" s="287">
        <f t="shared" si="82"/>
        <v>0.22059599999999999</v>
      </c>
      <c r="L227" s="287">
        <f t="shared" si="83"/>
        <v>179.99999453838632</v>
      </c>
      <c r="M227" s="287">
        <f t="shared" si="84"/>
        <v>678.66750000000002</v>
      </c>
      <c r="N227" s="287">
        <f t="shared" si="85"/>
        <v>470.52632664913523</v>
      </c>
      <c r="O227" s="287">
        <f t="shared" si="86"/>
        <v>93.844463307884467</v>
      </c>
      <c r="P227" s="288">
        <f t="shared" si="87"/>
        <v>3.3089399999999998</v>
      </c>
    </row>
    <row r="228" spans="1:16" s="102" customFormat="1" x14ac:dyDescent="0.3">
      <c r="A228" s="102">
        <f t="shared" si="72"/>
        <v>217</v>
      </c>
      <c r="B228" s="287">
        <f t="shared" si="73"/>
        <v>2460.0000020177649</v>
      </c>
      <c r="C228" s="287">
        <f t="shared" si="74"/>
        <v>5109.1565000000001</v>
      </c>
      <c r="D228" s="287">
        <f t="shared" si="75"/>
        <v>4181.9556115355235</v>
      </c>
      <c r="E228" s="287">
        <f t="shared" si="76"/>
        <v>1241.8298044633507</v>
      </c>
      <c r="F228" s="287">
        <f t="shared" si="77"/>
        <v>47.607705143999993</v>
      </c>
      <c r="G228" s="287">
        <f t="shared" si="78"/>
        <v>11.999999831852907</v>
      </c>
      <c r="H228" s="287">
        <f t="shared" si="79"/>
        <v>47.088999999999999</v>
      </c>
      <c r="I228" s="287">
        <f t="shared" si="80"/>
        <v>32.015865173305244</v>
      </c>
      <c r="J228" s="287">
        <f t="shared" si="81"/>
        <v>6.2563293104618909</v>
      </c>
      <c r="K228" s="287">
        <f t="shared" si="82"/>
        <v>0.22059599999999999</v>
      </c>
      <c r="L228" s="287">
        <f t="shared" si="83"/>
        <v>179.99999497507284</v>
      </c>
      <c r="M228" s="287">
        <f t="shared" si="84"/>
        <v>681.92250000000001</v>
      </c>
      <c r="N228" s="287">
        <f t="shared" si="85"/>
        <v>471.68658970642679</v>
      </c>
      <c r="O228" s="287">
        <f t="shared" si="86"/>
        <v>93.844528347301505</v>
      </c>
      <c r="P228" s="288">
        <f t="shared" si="87"/>
        <v>3.3089399999999998</v>
      </c>
    </row>
    <row r="229" spans="1:16" s="102" customFormat="1" x14ac:dyDescent="0.3">
      <c r="A229" s="102">
        <f t="shared" si="72"/>
        <v>218</v>
      </c>
      <c r="B229" s="287">
        <f t="shared" si="73"/>
        <v>2472.0000018564333</v>
      </c>
      <c r="C229" s="287">
        <f t="shared" si="74"/>
        <v>5156.3539999999994</v>
      </c>
      <c r="D229" s="287">
        <f t="shared" si="75"/>
        <v>4214.008320723623</v>
      </c>
      <c r="E229" s="287">
        <f t="shared" si="76"/>
        <v>1248.0861351187316</v>
      </c>
      <c r="F229" s="287">
        <f t="shared" si="77"/>
        <v>47.828301144000001</v>
      </c>
      <c r="G229" s="287">
        <f t="shared" si="78"/>
        <v>11.999999845297205</v>
      </c>
      <c r="H229" s="287">
        <f t="shared" si="79"/>
        <v>47.305999999999997</v>
      </c>
      <c r="I229" s="287">
        <f t="shared" si="80"/>
        <v>32.089482239886507</v>
      </c>
      <c r="J229" s="287">
        <f t="shared" si="81"/>
        <v>6.2563319762976048</v>
      </c>
      <c r="K229" s="287">
        <f t="shared" si="82"/>
        <v>0.22059599999999999</v>
      </c>
      <c r="L229" s="287">
        <f t="shared" si="83"/>
        <v>179.99999537684383</v>
      </c>
      <c r="M229" s="287">
        <f t="shared" si="84"/>
        <v>685.17750000000001</v>
      </c>
      <c r="N229" s="287">
        <f t="shared" si="85"/>
        <v>472.84016153054483</v>
      </c>
      <c r="O229" s="287">
        <f t="shared" si="86"/>
        <v>93.844589966202051</v>
      </c>
      <c r="P229" s="288">
        <f t="shared" si="87"/>
        <v>3.3089399999999998</v>
      </c>
    </row>
    <row r="230" spans="1:16" s="102" customFormat="1" x14ac:dyDescent="0.3">
      <c r="A230" s="102">
        <f t="shared" si="72"/>
        <v>219</v>
      </c>
      <c r="B230" s="287">
        <f t="shared" si="73"/>
        <v>2484.0000017080015</v>
      </c>
      <c r="C230" s="287">
        <f t="shared" si="74"/>
        <v>5203.7684999999992</v>
      </c>
      <c r="D230" s="287">
        <f t="shared" si="75"/>
        <v>4246.1344344989939</v>
      </c>
      <c r="E230" s="287">
        <f t="shared" si="76"/>
        <v>1254.3424683692169</v>
      </c>
      <c r="F230" s="287">
        <f t="shared" si="77"/>
        <v>48.048897144000001</v>
      </c>
      <c r="G230" s="287">
        <f t="shared" si="78"/>
        <v>11.999999857666557</v>
      </c>
      <c r="H230" s="287">
        <f t="shared" si="79"/>
        <v>47.522999999999996</v>
      </c>
      <c r="I230" s="287">
        <f t="shared" si="80"/>
        <v>32.162674757090834</v>
      </c>
      <c r="J230" s="287">
        <f t="shared" si="81"/>
        <v>6.2563345019331837</v>
      </c>
      <c r="K230" s="287">
        <f t="shared" si="82"/>
        <v>0.22059599999999999</v>
      </c>
      <c r="L230" s="287">
        <f t="shared" si="83"/>
        <v>179.99999574649098</v>
      </c>
      <c r="M230" s="287">
        <f t="shared" si="84"/>
        <v>688.4325</v>
      </c>
      <c r="N230" s="287">
        <f t="shared" si="85"/>
        <v>473.98708070980871</v>
      </c>
      <c r="O230" s="287">
        <f t="shared" si="86"/>
        <v>93.844648344475971</v>
      </c>
      <c r="P230" s="288">
        <f t="shared" si="87"/>
        <v>3.3089399999999998</v>
      </c>
    </row>
    <row r="231" spans="1:16" s="102" customFormat="1" x14ac:dyDescent="0.3">
      <c r="A231" s="102">
        <f t="shared" si="72"/>
        <v>220</v>
      </c>
      <c r="B231" s="287">
        <f t="shared" si="73"/>
        <v>2496.0000015714372</v>
      </c>
      <c r="C231" s="287">
        <f t="shared" si="74"/>
        <v>5251.4000000000005</v>
      </c>
      <c r="D231" s="287">
        <f t="shared" si="75"/>
        <v>4278.3335295376273</v>
      </c>
      <c r="E231" s="287">
        <f t="shared" si="76"/>
        <v>1260.5988040783266</v>
      </c>
      <c r="F231" s="287">
        <f t="shared" si="77"/>
        <v>48.269493143999995</v>
      </c>
      <c r="G231" s="287">
        <f t="shared" si="78"/>
        <v>11.999999869046912</v>
      </c>
      <c r="H231" s="287">
        <f t="shared" si="79"/>
        <v>47.74</v>
      </c>
      <c r="I231" s="287">
        <f t="shared" si="80"/>
        <v>32.235445173293073</v>
      </c>
      <c r="J231" s="287">
        <f t="shared" si="81"/>
        <v>6.2563368947419553</v>
      </c>
      <c r="K231" s="287">
        <f t="shared" si="82"/>
        <v>0.22059599999999999</v>
      </c>
      <c r="L231" s="287">
        <f t="shared" si="83"/>
        <v>179.9999960865828</v>
      </c>
      <c r="M231" s="287">
        <f t="shared" si="84"/>
        <v>691.6875</v>
      </c>
      <c r="N231" s="287">
        <f t="shared" si="85"/>
        <v>475.12738560999895</v>
      </c>
      <c r="O231" s="287">
        <f t="shared" si="86"/>
        <v>93.844703652552539</v>
      </c>
      <c r="P231" s="288">
        <f t="shared" si="87"/>
        <v>3.3089399999999998</v>
      </c>
    </row>
    <row r="232" spans="1:16" s="102" customFormat="1" x14ac:dyDescent="0.3">
      <c r="A232" s="102">
        <f t="shared" si="72"/>
        <v>221</v>
      </c>
      <c r="B232" s="287">
        <f t="shared" si="73"/>
        <v>2508.0000014457919</v>
      </c>
      <c r="C232" s="287">
        <f t="shared" si="74"/>
        <v>5299.2484999999997</v>
      </c>
      <c r="D232" s="287">
        <f t="shared" si="75"/>
        <v>4310.6051849568212</v>
      </c>
      <c r="E232" s="287">
        <f t="shared" si="76"/>
        <v>1266.8551421167579</v>
      </c>
      <c r="F232" s="287">
        <f t="shared" si="77"/>
        <v>48.490089144000002</v>
      </c>
      <c r="G232" s="287">
        <f t="shared" si="78"/>
        <v>11.999999879517343</v>
      </c>
      <c r="H232" s="287">
        <f t="shared" si="79"/>
        <v>47.957000000000001</v>
      </c>
      <c r="I232" s="287">
        <f t="shared" si="80"/>
        <v>32.307795922748284</v>
      </c>
      <c r="J232" s="287">
        <f t="shared" si="81"/>
        <v>6.2563391617094721</v>
      </c>
      <c r="K232" s="287">
        <f t="shared" si="82"/>
        <v>0.22059599999999999</v>
      </c>
      <c r="L232" s="287">
        <f t="shared" si="83"/>
        <v>179.99999639948234</v>
      </c>
      <c r="M232" s="287">
        <f t="shared" si="84"/>
        <v>694.9425</v>
      </c>
      <c r="N232" s="287">
        <f t="shared" si="85"/>
        <v>476.261114375641</v>
      </c>
      <c r="O232" s="287">
        <f t="shared" si="86"/>
        <v>93.844756051897804</v>
      </c>
      <c r="P232" s="288">
        <f t="shared" si="87"/>
        <v>3.3089399999999998</v>
      </c>
    </row>
    <row r="233" spans="1:16" s="102" customFormat="1" x14ac:dyDescent="0.3">
      <c r="A233" s="102">
        <f t="shared" si="72"/>
        <v>222</v>
      </c>
      <c r="B233" s="287">
        <f t="shared" si="73"/>
        <v>2520.0000013301928</v>
      </c>
      <c r="C233" s="287">
        <f t="shared" si="74"/>
        <v>5347.3140000000003</v>
      </c>
      <c r="D233" s="287">
        <f t="shared" si="75"/>
        <v>4342.9489823011027</v>
      </c>
      <c r="E233" s="287">
        <f t="shared" si="76"/>
        <v>1273.1114823620085</v>
      </c>
      <c r="F233" s="287">
        <f t="shared" si="77"/>
        <v>48.710685143999996</v>
      </c>
      <c r="G233" s="287">
        <f t="shared" si="78"/>
        <v>11.999999889150605</v>
      </c>
      <c r="H233" s="287">
        <f t="shared" si="79"/>
        <v>48.173999999999999</v>
      </c>
      <c r="I233" s="287">
        <f t="shared" si="80"/>
        <v>32.379729425673204</v>
      </c>
      <c r="J233" s="287">
        <f t="shared" si="81"/>
        <v>6.2563413094539069</v>
      </c>
      <c r="K233" s="287">
        <f t="shared" si="82"/>
        <v>0.22059599999999999</v>
      </c>
      <c r="L233" s="287">
        <f t="shared" si="83"/>
        <v>179.99999668736385</v>
      </c>
      <c r="M233" s="287">
        <f t="shared" si="84"/>
        <v>698.19749999999999</v>
      </c>
      <c r="N233" s="287">
        <f t="shared" si="85"/>
        <v>477.38830493128074</v>
      </c>
      <c r="O233" s="287">
        <f t="shared" si="86"/>
        <v>93.844805695486116</v>
      </c>
      <c r="P233" s="288">
        <f t="shared" si="87"/>
        <v>3.3089399999999998</v>
      </c>
    </row>
    <row r="234" spans="1:16" s="102" customFormat="1" x14ac:dyDescent="0.3">
      <c r="A234" s="102">
        <f t="shared" si="72"/>
        <v>223</v>
      </c>
      <c r="B234" s="287">
        <f t="shared" si="73"/>
        <v>2532.0000012238365</v>
      </c>
      <c r="C234" s="287">
        <f t="shared" si="74"/>
        <v>5395.5964999999997</v>
      </c>
      <c r="D234" s="287">
        <f t="shared" si="75"/>
        <v>4375.3645055282313</v>
      </c>
      <c r="E234" s="287">
        <f t="shared" si="76"/>
        <v>1279.3678246980182</v>
      </c>
      <c r="F234" s="287">
        <f t="shared" si="77"/>
        <v>48.931281144000003</v>
      </c>
      <c r="G234" s="287">
        <f t="shared" si="78"/>
        <v>11.999999898013632</v>
      </c>
      <c r="H234" s="287">
        <f t="shared" si="79"/>
        <v>48.390999999999998</v>
      </c>
      <c r="I234" s="287">
        <f t="shared" si="80"/>
        <v>32.451248088327176</v>
      </c>
      <c r="J234" s="287">
        <f t="shared" si="81"/>
        <v>6.2563433442453729</v>
      </c>
      <c r="K234" s="287">
        <f t="shared" si="82"/>
        <v>0.22059599999999999</v>
      </c>
      <c r="L234" s="287">
        <f t="shared" si="83"/>
        <v>179.9999969522276</v>
      </c>
      <c r="M234" s="287">
        <f t="shared" si="84"/>
        <v>701.45249999999999</v>
      </c>
      <c r="N234" s="287">
        <f t="shared" si="85"/>
        <v>478.50899498275351</v>
      </c>
      <c r="O234" s="287">
        <f t="shared" si="86"/>
        <v>93.84485272824675</v>
      </c>
      <c r="P234" s="288">
        <f t="shared" si="87"/>
        <v>3.3089399999999998</v>
      </c>
    </row>
    <row r="235" spans="1:16" s="102" customFormat="1" x14ac:dyDescent="0.3">
      <c r="A235" s="102">
        <f t="shared" si="72"/>
        <v>224</v>
      </c>
      <c r="B235" s="287">
        <f t="shared" si="73"/>
        <v>2544.000001125984</v>
      </c>
      <c r="C235" s="287">
        <f t="shared" si="74"/>
        <v>5444.0959999999995</v>
      </c>
      <c r="D235" s="287">
        <f t="shared" si="75"/>
        <v>4407.8513409952793</v>
      </c>
      <c r="E235" s="287">
        <f t="shared" si="76"/>
        <v>1285.6241690148318</v>
      </c>
      <c r="F235" s="287">
        <f t="shared" si="77"/>
        <v>49.151877144000004</v>
      </c>
      <c r="G235" s="287">
        <f t="shared" si="78"/>
        <v>11.999999906168012</v>
      </c>
      <c r="H235" s="287">
        <f t="shared" si="79"/>
        <v>48.607999999999997</v>
      </c>
      <c r="I235" s="287">
        <f t="shared" si="80"/>
        <v>32.522354303092655</v>
      </c>
      <c r="J235" s="287">
        <f t="shared" si="81"/>
        <v>6.2563452720242285</v>
      </c>
      <c r="K235" s="287">
        <f t="shared" si="82"/>
        <v>0.22059599999999999</v>
      </c>
      <c r="L235" s="287">
        <f t="shared" si="83"/>
        <v>179.99999719591403</v>
      </c>
      <c r="M235" s="287">
        <f t="shared" si="84"/>
        <v>704.70749999999998</v>
      </c>
      <c r="N235" s="287">
        <f t="shared" si="85"/>
        <v>479.62322201844495</v>
      </c>
      <c r="O235" s="287">
        <f t="shared" si="86"/>
        <v>93.84489728748683</v>
      </c>
      <c r="P235" s="288">
        <f t="shared" si="87"/>
        <v>3.3089399999999998</v>
      </c>
    </row>
    <row r="236" spans="1:16" s="102" customFormat="1" x14ac:dyDescent="0.3">
      <c r="A236" s="102">
        <f t="shared" si="72"/>
        <v>225</v>
      </c>
      <c r="B236" s="287">
        <f t="shared" si="73"/>
        <v>2556.0000010359554</v>
      </c>
      <c r="C236" s="287">
        <f t="shared" si="74"/>
        <v>5492.8125</v>
      </c>
      <c r="D236" s="287">
        <f t="shared" si="75"/>
        <v>4440.4090774448014</v>
      </c>
      <c r="E236" s="287">
        <f t="shared" si="76"/>
        <v>1291.880515208275</v>
      </c>
      <c r="F236" s="287">
        <f t="shared" si="77"/>
        <v>49.372473143999997</v>
      </c>
      <c r="G236" s="287">
        <f t="shared" si="78"/>
        <v>11.999999913670404</v>
      </c>
      <c r="H236" s="287">
        <f t="shared" si="79"/>
        <v>48.825000000000003</v>
      </c>
      <c r="I236" s="287">
        <f t="shared" si="80"/>
        <v>32.593050448555225</v>
      </c>
      <c r="J236" s="287">
        <f t="shared" si="81"/>
        <v>6.2563470984184217</v>
      </c>
      <c r="K236" s="287">
        <f t="shared" si="82"/>
        <v>0.22059599999999999</v>
      </c>
      <c r="L236" s="287">
        <f t="shared" si="83"/>
        <v>179.99999742011636</v>
      </c>
      <c r="M236" s="287">
        <f t="shared" si="84"/>
        <v>707.96249999999998</v>
      </c>
      <c r="N236" s="287">
        <f t="shared" si="85"/>
        <v>480.73102331054554</v>
      </c>
      <c r="O236" s="287">
        <f t="shared" si="86"/>
        <v>93.844939503292409</v>
      </c>
      <c r="P236" s="288">
        <f t="shared" si="87"/>
        <v>3.3089399999999998</v>
      </c>
    </row>
    <row r="237" spans="1:16" s="102" customFormat="1" x14ac:dyDescent="0.3">
      <c r="A237" s="102">
        <f t="shared" si="72"/>
        <v>226</v>
      </c>
      <c r="B237" s="287">
        <f t="shared" si="73"/>
        <v>2568.000000953125</v>
      </c>
      <c r="C237" s="287">
        <f t="shared" si="74"/>
        <v>5541.7460000000001</v>
      </c>
      <c r="D237" s="287">
        <f t="shared" si="75"/>
        <v>4473.0373059910644</v>
      </c>
      <c r="E237" s="287">
        <f t="shared" si="76"/>
        <v>1298.136863179654</v>
      </c>
      <c r="F237" s="287">
        <f t="shared" si="77"/>
        <v>49.593069144000005</v>
      </c>
      <c r="G237" s="287">
        <f t="shared" si="78"/>
        <v>11.999999920572936</v>
      </c>
      <c r="H237" s="287">
        <f t="shared" si="79"/>
        <v>49.042000000000002</v>
      </c>
      <c r="I237" s="287">
        <f t="shared" si="80"/>
        <v>32.663338889583201</v>
      </c>
      <c r="J237" s="287">
        <f t="shared" si="81"/>
        <v>6.2563488287599176</v>
      </c>
      <c r="K237" s="287">
        <f t="shared" si="82"/>
        <v>0.22059599999999999</v>
      </c>
      <c r="L237" s="287">
        <f t="shared" si="83"/>
        <v>179.99999762639249</v>
      </c>
      <c r="M237" s="287">
        <f t="shared" si="84"/>
        <v>711.21749999999997</v>
      </c>
      <c r="N237" s="287">
        <f t="shared" si="85"/>
        <v>481.83243591629719</v>
      </c>
      <c r="O237" s="287">
        <f t="shared" si="86"/>
        <v>93.844979498908032</v>
      </c>
      <c r="P237" s="288">
        <f t="shared" si="87"/>
        <v>3.3089399999999998</v>
      </c>
    </row>
    <row r="238" spans="1:16" s="102" customFormat="1" x14ac:dyDescent="0.3">
      <c r="A238" s="102">
        <f t="shared" si="72"/>
        <v>227</v>
      </c>
      <c r="B238" s="287">
        <f t="shared" si="73"/>
        <v>2580.0000008769171</v>
      </c>
      <c r="C238" s="287">
        <f t="shared" si="74"/>
        <v>5590.8964999999998</v>
      </c>
      <c r="D238" s="287">
        <f t="shared" si="75"/>
        <v>4505.7356201063831</v>
      </c>
      <c r="E238" s="287">
        <f t="shared" si="76"/>
        <v>1304.3932128354643</v>
      </c>
      <c r="F238" s="287">
        <f t="shared" si="77"/>
        <v>49.813665143999998</v>
      </c>
      <c r="G238" s="287">
        <f t="shared" si="78"/>
        <v>11.999999926923573</v>
      </c>
      <c r="H238" s="287">
        <f t="shared" si="79"/>
        <v>49.259</v>
      </c>
      <c r="I238" s="287">
        <f t="shared" si="80"/>
        <v>32.733221977406693</v>
      </c>
      <c r="J238" s="287">
        <f t="shared" si="81"/>
        <v>6.2563504681002664</v>
      </c>
      <c r="K238" s="287">
        <f t="shared" si="82"/>
        <v>0.22059599999999999</v>
      </c>
      <c r="L238" s="287">
        <f t="shared" si="83"/>
        <v>179.99999781617566</v>
      </c>
      <c r="M238" s="287">
        <f t="shared" si="84"/>
        <v>714.47249999999997</v>
      </c>
      <c r="N238" s="287">
        <f t="shared" si="85"/>
        <v>482.92749667923255</v>
      </c>
      <c r="O238" s="287">
        <f t="shared" si="86"/>
        <v>93.845017391096732</v>
      </c>
      <c r="P238" s="288">
        <f t="shared" si="87"/>
        <v>3.3089399999999998</v>
      </c>
    </row>
    <row r="239" spans="1:16" s="102" customFormat="1" x14ac:dyDescent="0.3">
      <c r="A239" s="102">
        <f t="shared" si="72"/>
        <v>228</v>
      </c>
      <c r="B239" s="287">
        <f t="shared" si="73"/>
        <v>2592.0000008068027</v>
      </c>
      <c r="C239" s="287">
        <f t="shared" si="74"/>
        <v>5640.2640000000001</v>
      </c>
      <c r="D239" s="287">
        <f t="shared" si="75"/>
        <v>4538.5036156075166</v>
      </c>
      <c r="E239" s="287">
        <f t="shared" si="76"/>
        <v>1310.6495640871192</v>
      </c>
      <c r="F239" s="287">
        <f t="shared" si="77"/>
        <v>50.034261144000006</v>
      </c>
      <c r="G239" s="287">
        <f t="shared" si="78"/>
        <v>11.999999932766443</v>
      </c>
      <c r="H239" s="287">
        <f t="shared" si="79"/>
        <v>49.475999999999999</v>
      </c>
      <c r="I239" s="287">
        <f t="shared" si="80"/>
        <v>32.802702049696265</v>
      </c>
      <c r="J239" s="287">
        <f t="shared" si="81"/>
        <v>6.2563520212253474</v>
      </c>
      <c r="K239" s="287">
        <f t="shared" si="82"/>
        <v>0.22059599999999999</v>
      </c>
      <c r="L239" s="287">
        <f t="shared" si="83"/>
        <v>179.99999799078461</v>
      </c>
      <c r="M239" s="287">
        <f t="shared" si="84"/>
        <v>717.72749999999996</v>
      </c>
      <c r="N239" s="287">
        <f t="shared" si="85"/>
        <v>484.01624223040807</v>
      </c>
      <c r="O239" s="287">
        <f t="shared" si="86"/>
        <v>93.845053290480706</v>
      </c>
      <c r="P239" s="288">
        <f t="shared" si="87"/>
        <v>3.3089399999999998</v>
      </c>
    </row>
    <row r="240" spans="1:16" s="102" customFormat="1" x14ac:dyDescent="0.3">
      <c r="A240" s="102">
        <f t="shared" si="72"/>
        <v>229</v>
      </c>
      <c r="B240" s="287">
        <f t="shared" si="73"/>
        <v>2604.0000007422941</v>
      </c>
      <c r="C240" s="287">
        <f t="shared" si="74"/>
        <v>5689.8485000000001</v>
      </c>
      <c r="D240" s="287">
        <f t="shared" si="75"/>
        <v>4571.3408906421428</v>
      </c>
      <c r="E240" s="287">
        <f t="shared" si="76"/>
        <v>1316.9059168506906</v>
      </c>
      <c r="F240" s="287">
        <f t="shared" si="77"/>
        <v>50.254857143999999</v>
      </c>
      <c r="G240" s="287">
        <f t="shared" si="78"/>
        <v>11.999999938142141</v>
      </c>
      <c r="H240" s="287">
        <f t="shared" si="79"/>
        <v>49.692999999999998</v>
      </c>
      <c r="I240" s="287">
        <f t="shared" si="80"/>
        <v>32.871781430641164</v>
      </c>
      <c r="J240" s="287">
        <f t="shared" si="81"/>
        <v>6.2563534926693469</v>
      </c>
      <c r="K240" s="287">
        <f t="shared" si="82"/>
        <v>0.22059599999999999</v>
      </c>
      <c r="L240" s="287">
        <f t="shared" si="83"/>
        <v>179.99999815143261</v>
      </c>
      <c r="M240" s="287">
        <f t="shared" si="84"/>
        <v>720.98249999999996</v>
      </c>
      <c r="N240" s="287">
        <f t="shared" si="85"/>
        <v>485.09870898962873</v>
      </c>
      <c r="O240" s="287">
        <f t="shared" si="86"/>
        <v>93.845087301864481</v>
      </c>
      <c r="P240" s="288">
        <f t="shared" si="87"/>
        <v>3.3089399999999998</v>
      </c>
    </row>
    <row r="241" spans="1:16" s="102" customFormat="1" x14ac:dyDescent="0.3">
      <c r="A241" s="102">
        <f t="shared" si="72"/>
        <v>230</v>
      </c>
      <c r="B241" s="287">
        <f t="shared" si="73"/>
        <v>2616.0000006829437</v>
      </c>
      <c r="C241" s="287">
        <f t="shared" si="74"/>
        <v>5739.65</v>
      </c>
      <c r="D241" s="287">
        <f t="shared" si="75"/>
        <v>4604.2470456754263</v>
      </c>
      <c r="E241" s="287">
        <f t="shared" si="76"/>
        <v>1323.162271046665</v>
      </c>
      <c r="F241" s="287">
        <f t="shared" si="77"/>
        <v>50.475453143999999</v>
      </c>
      <c r="G241" s="287">
        <f t="shared" si="78"/>
        <v>11.999999943088023</v>
      </c>
      <c r="H241" s="287">
        <f t="shared" si="79"/>
        <v>49.91</v>
      </c>
      <c r="I241" s="287">
        <f t="shared" si="80"/>
        <v>32.940462431027029</v>
      </c>
      <c r="J241" s="287">
        <f t="shared" si="81"/>
        <v>6.2563548867279897</v>
      </c>
      <c r="K241" s="287">
        <f t="shared" si="82"/>
        <v>0.22059599999999999</v>
      </c>
      <c r="L241" s="287">
        <f t="shared" si="83"/>
        <v>179.9999982992359</v>
      </c>
      <c r="M241" s="287">
        <f t="shared" si="84"/>
        <v>724.23749999999995</v>
      </c>
      <c r="N241" s="287">
        <f t="shared" si="85"/>
        <v>486.1749331666669</v>
      </c>
      <c r="O241" s="287">
        <f t="shared" si="86"/>
        <v>93.845119524540635</v>
      </c>
      <c r="P241" s="288">
        <f t="shared" si="87"/>
        <v>3.3089399999999998</v>
      </c>
    </row>
    <row r="242" spans="1:16" s="102" customFormat="1" x14ac:dyDescent="0.3">
      <c r="A242" s="102">
        <f t="shared" si="72"/>
        <v>231</v>
      </c>
      <c r="B242" s="287">
        <f t="shared" si="73"/>
        <v>2628.0000006283385</v>
      </c>
      <c r="C242" s="287">
        <f t="shared" si="74"/>
        <v>5789.6685000000007</v>
      </c>
      <c r="D242" s="287">
        <f t="shared" si="75"/>
        <v>4637.2216834766441</v>
      </c>
      <c r="E242" s="287">
        <f t="shared" si="76"/>
        <v>1329.4186265997105</v>
      </c>
      <c r="F242" s="287">
        <f t="shared" si="77"/>
        <v>50.696049144000007</v>
      </c>
      <c r="G242" s="287">
        <f t="shared" si="78"/>
        <v>11.999999947638454</v>
      </c>
      <c r="H242" s="287">
        <f t="shared" si="79"/>
        <v>50.127000000000002</v>
      </c>
      <c r="I242" s="287">
        <f t="shared" si="80"/>
        <v>33.008747348313221</v>
      </c>
      <c r="J242" s="287">
        <f t="shared" si="81"/>
        <v>6.2563562074710841</v>
      </c>
      <c r="K242" s="287">
        <f t="shared" si="82"/>
        <v>0.22059599999999999</v>
      </c>
      <c r="L242" s="287">
        <f t="shared" si="83"/>
        <v>179.99999843522147</v>
      </c>
      <c r="M242" s="287">
        <f t="shared" si="84"/>
        <v>727.49249999999995</v>
      </c>
      <c r="N242" s="287">
        <f t="shared" si="85"/>
        <v>487.24495076247297</v>
      </c>
      <c r="O242" s="287">
        <f t="shared" si="86"/>
        <v>93.845150052579896</v>
      </c>
      <c r="P242" s="288">
        <f t="shared" si="87"/>
        <v>3.3089399999999998</v>
      </c>
    </row>
    <row r="243" spans="1:16" s="102" customFormat="1" x14ac:dyDescent="0.3">
      <c r="A243" s="102">
        <f t="shared" si="72"/>
        <v>232</v>
      </c>
      <c r="B243" s="287">
        <f t="shared" si="73"/>
        <v>2640.0000005780994</v>
      </c>
      <c r="C243" s="287">
        <f t="shared" si="74"/>
        <v>5839.9040000000005</v>
      </c>
      <c r="D243" s="287">
        <f t="shared" si="75"/>
        <v>4670.2644091059028</v>
      </c>
      <c r="E243" s="287">
        <f t="shared" si="76"/>
        <v>1335.6749834384564</v>
      </c>
      <c r="F243" s="287">
        <f t="shared" si="77"/>
        <v>50.916645144</v>
      </c>
      <c r="G243" s="287">
        <f t="shared" si="78"/>
        <v>11.99999995182505</v>
      </c>
      <c r="H243" s="287">
        <f t="shared" si="79"/>
        <v>50.344000000000001</v>
      </c>
      <c r="I243" s="287">
        <f t="shared" si="80"/>
        <v>33.076638466709639</v>
      </c>
      <c r="J243" s="287">
        <f t="shared" si="81"/>
        <v>6.2563574587544002</v>
      </c>
      <c r="K243" s="287">
        <f t="shared" si="82"/>
        <v>0.22059599999999999</v>
      </c>
      <c r="L243" s="287">
        <f t="shared" si="83"/>
        <v>179.99999856033426</v>
      </c>
      <c r="M243" s="287">
        <f t="shared" si="84"/>
        <v>730.74749999999995</v>
      </c>
      <c r="N243" s="287">
        <f t="shared" si="85"/>
        <v>488.30879757038031</v>
      </c>
      <c r="O243" s="287">
        <f t="shared" si="86"/>
        <v>93.845178975105682</v>
      </c>
      <c r="P243" s="288">
        <f t="shared" si="87"/>
        <v>3.3089399999999998</v>
      </c>
    </row>
    <row r="244" spans="1:16" s="102" customFormat="1" x14ac:dyDescent="0.3">
      <c r="A244" s="102">
        <f t="shared" si="72"/>
        <v>233</v>
      </c>
      <c r="B244" s="287">
        <f t="shared" si="73"/>
        <v>2652.000000531877</v>
      </c>
      <c r="C244" s="287">
        <f t="shared" si="74"/>
        <v>5890.3564999999999</v>
      </c>
      <c r="D244" s="287">
        <f t="shared" si="75"/>
        <v>4703.3748299009258</v>
      </c>
      <c r="E244" s="287">
        <f t="shared" si="76"/>
        <v>1341.9313414952856</v>
      </c>
      <c r="F244" s="287">
        <f t="shared" si="77"/>
        <v>51.137241143999994</v>
      </c>
      <c r="G244" s="287">
        <f t="shared" si="78"/>
        <v>11.999999955676907</v>
      </c>
      <c r="H244" s="287">
        <f t="shared" si="79"/>
        <v>50.561</v>
      </c>
      <c r="I244" s="287">
        <f t="shared" si="80"/>
        <v>33.14413805725318</v>
      </c>
      <c r="J244" s="287">
        <f t="shared" si="81"/>
        <v>6.256358644230926</v>
      </c>
      <c r="K244" s="287">
        <f t="shared" si="82"/>
        <v>0.22059599999999999</v>
      </c>
      <c r="L244" s="287">
        <f t="shared" si="83"/>
        <v>179.99999867544358</v>
      </c>
      <c r="M244" s="287">
        <f t="shared" si="84"/>
        <v>734.00249999999994</v>
      </c>
      <c r="N244" s="287">
        <f t="shared" si="85"/>
        <v>489.36650917730208</v>
      </c>
      <c r="O244" s="287">
        <f t="shared" si="86"/>
        <v>93.845206376554245</v>
      </c>
      <c r="P244" s="288">
        <f t="shared" si="87"/>
        <v>3.3089399999999998</v>
      </c>
    </row>
    <row r="245" spans="1:16" s="102" customFormat="1" x14ac:dyDescent="0.3">
      <c r="A245" s="102">
        <f t="shared" si="72"/>
        <v>234</v>
      </c>
      <c r="B245" s="287">
        <f t="shared" si="73"/>
        <v>2664.0000004893504</v>
      </c>
      <c r="C245" s="287">
        <f t="shared" si="74"/>
        <v>5941.0259999999998</v>
      </c>
      <c r="D245" s="287">
        <f t="shared" si="75"/>
        <v>4736.5525554639162</v>
      </c>
      <c r="E245" s="287">
        <f t="shared" si="76"/>
        <v>1348.187700706138</v>
      </c>
      <c r="F245" s="287">
        <f t="shared" si="77"/>
        <v>51.357837144000001</v>
      </c>
      <c r="G245" s="287">
        <f t="shared" si="78"/>
        <v>11.999999959220787</v>
      </c>
      <c r="H245" s="287">
        <f t="shared" si="79"/>
        <v>50.777999999999999</v>
      </c>
      <c r="I245" s="287">
        <f t="shared" si="80"/>
        <v>33.211248377883649</v>
      </c>
      <c r="J245" s="287">
        <f t="shared" si="81"/>
        <v>6.2563597673615368</v>
      </c>
      <c r="K245" s="287">
        <f t="shared" si="82"/>
        <v>0.22059599999999999</v>
      </c>
      <c r="L245" s="287">
        <f t="shared" si="83"/>
        <v>179.99999878134926</v>
      </c>
      <c r="M245" s="287">
        <f t="shared" si="84"/>
        <v>737.25750000000005</v>
      </c>
      <c r="N245" s="287">
        <f t="shared" si="85"/>
        <v>490.41812096492185</v>
      </c>
      <c r="O245" s="287">
        <f t="shared" si="86"/>
        <v>93.845232336921228</v>
      </c>
      <c r="P245" s="288">
        <f t="shared" si="87"/>
        <v>3.3089399999999998</v>
      </c>
    </row>
    <row r="246" spans="1:16" s="102" customFormat="1" x14ac:dyDescent="0.3">
      <c r="A246" s="102">
        <f t="shared" si="72"/>
        <v>235</v>
      </c>
      <c r="B246" s="287">
        <f t="shared" si="73"/>
        <v>2676.0000004502244</v>
      </c>
      <c r="C246" s="287">
        <f t="shared" si="74"/>
        <v>5991.9124999999995</v>
      </c>
      <c r="D246" s="287">
        <f t="shared" si="75"/>
        <v>4769.7971976485042</v>
      </c>
      <c r="E246" s="287">
        <f t="shared" si="76"/>
        <v>1354.4440610103218</v>
      </c>
      <c r="F246" s="287">
        <f t="shared" si="77"/>
        <v>51.578433144000002</v>
      </c>
      <c r="G246" s="287">
        <f t="shared" si="78"/>
        <v>11.999999962481311</v>
      </c>
      <c r="H246" s="287">
        <f t="shared" si="79"/>
        <v>50.994999999999997</v>
      </c>
      <c r="I246" s="287">
        <f t="shared" si="80"/>
        <v>33.277971673519346</v>
      </c>
      <c r="J246" s="287">
        <f t="shared" si="81"/>
        <v>6.2563608314250923</v>
      </c>
      <c r="K246" s="287">
        <f t="shared" si="82"/>
        <v>0.22059599999999999</v>
      </c>
      <c r="L246" s="287">
        <f t="shared" si="83"/>
        <v>179.99999887878721</v>
      </c>
      <c r="M246" s="287">
        <f t="shared" si="84"/>
        <v>740.51250000000005</v>
      </c>
      <c r="N246" s="287">
        <f t="shared" si="85"/>
        <v>491.46366811087711</v>
      </c>
      <c r="O246" s="287">
        <f t="shared" si="86"/>
        <v>93.845256931995152</v>
      </c>
      <c r="P246" s="288">
        <f t="shared" si="87"/>
        <v>3.3089399999999998</v>
      </c>
    </row>
    <row r="247" spans="1:16" s="102" customFormat="1" x14ac:dyDescent="0.3">
      <c r="A247" s="102">
        <f t="shared" si="72"/>
        <v>236</v>
      </c>
      <c r="B247" s="287">
        <f t="shared" si="73"/>
        <v>2688.0000004142262</v>
      </c>
      <c r="C247" s="287">
        <f t="shared" si="74"/>
        <v>6043.0159999999996</v>
      </c>
      <c r="D247" s="287">
        <f t="shared" si="75"/>
        <v>4803.1083705467572</v>
      </c>
      <c r="E247" s="287">
        <f t="shared" si="76"/>
        <v>1360.7004223503366</v>
      </c>
      <c r="F247" s="287">
        <f t="shared" si="77"/>
        <v>51.799029143999995</v>
      </c>
      <c r="G247" s="287">
        <f t="shared" si="78"/>
        <v>11.999999965481141</v>
      </c>
      <c r="H247" s="287">
        <f t="shared" si="79"/>
        <v>51.211999999999996</v>
      </c>
      <c r="I247" s="287">
        <f t="shared" si="80"/>
        <v>33.344310176132119</v>
      </c>
      <c r="J247" s="287">
        <f t="shared" si="81"/>
        <v>6.2563618395280169</v>
      </c>
      <c r="K247" s="287">
        <f t="shared" si="82"/>
        <v>0.22059599999999999</v>
      </c>
      <c r="L247" s="287">
        <f t="shared" si="83"/>
        <v>179.99999896843443</v>
      </c>
      <c r="M247" s="287">
        <f t="shared" si="84"/>
        <v>743.76750000000004</v>
      </c>
      <c r="N247" s="287">
        <f t="shared" si="85"/>
        <v>492.50318558993609</v>
      </c>
      <c r="O247" s="287">
        <f t="shared" si="86"/>
        <v>93.845280233578762</v>
      </c>
      <c r="P247" s="288">
        <f t="shared" si="87"/>
        <v>3.3089399999999998</v>
      </c>
    </row>
    <row r="248" spans="1:16" s="102" customFormat="1" x14ac:dyDescent="0.3">
      <c r="A248" s="102">
        <f t="shared" si="72"/>
        <v>237</v>
      </c>
      <c r="B248" s="287">
        <f t="shared" si="73"/>
        <v>2700.0000003811065</v>
      </c>
      <c r="C248" s="287">
        <f t="shared" si="74"/>
        <v>6094.3365000000003</v>
      </c>
      <c r="D248" s="287">
        <f t="shared" si="75"/>
        <v>4836.485690476271</v>
      </c>
      <c r="E248" s="287">
        <f t="shared" si="76"/>
        <v>1366.9567846717071</v>
      </c>
      <c r="F248" s="287">
        <f t="shared" si="77"/>
        <v>52.019625144000003</v>
      </c>
      <c r="G248" s="287">
        <f t="shared" si="78"/>
        <v>11.999999968241116</v>
      </c>
      <c r="H248" s="287">
        <f t="shared" si="79"/>
        <v>51.429000000000002</v>
      </c>
      <c r="I248" s="287">
        <f t="shared" si="80"/>
        <v>33.410266104822036</v>
      </c>
      <c r="J248" s="287">
        <f t="shared" si="81"/>
        <v>6.2563627946133575</v>
      </c>
      <c r="K248" s="287">
        <f t="shared" si="82"/>
        <v>0.22059599999999999</v>
      </c>
      <c r="L248" s="287">
        <f t="shared" si="83"/>
        <v>179.99999905091386</v>
      </c>
      <c r="M248" s="287">
        <f t="shared" si="84"/>
        <v>747.02250000000004</v>
      </c>
      <c r="N248" s="287">
        <f t="shared" si="85"/>
        <v>493.53670817516769</v>
      </c>
      <c r="O248" s="287">
        <f t="shared" si="86"/>
        <v>93.845302309698596</v>
      </c>
      <c r="P248" s="288">
        <f t="shared" si="87"/>
        <v>3.3089399999999998</v>
      </c>
    </row>
    <row r="249" spans="1:16" s="102" customFormat="1" x14ac:dyDescent="0.3">
      <c r="A249" s="102">
        <f t="shared" si="72"/>
        <v>238</v>
      </c>
      <c r="B249" s="287">
        <f t="shared" si="73"/>
        <v>2712.0000003506352</v>
      </c>
      <c r="C249" s="287">
        <f t="shared" si="74"/>
        <v>6145.8739999999998</v>
      </c>
      <c r="D249" s="287">
        <f t="shared" si="75"/>
        <v>4869.9287759673371</v>
      </c>
      <c r="E249" s="287">
        <f t="shared" si="76"/>
        <v>1373.2131479228219</v>
      </c>
      <c r="F249" s="287">
        <f t="shared" si="77"/>
        <v>52.240221143999996</v>
      </c>
      <c r="G249" s="287">
        <f t="shared" si="78"/>
        <v>11.999999970780415</v>
      </c>
      <c r="H249" s="287">
        <f t="shared" si="79"/>
        <v>51.646000000000001</v>
      </c>
      <c r="I249" s="287">
        <f t="shared" si="80"/>
        <v>33.475841665891636</v>
      </c>
      <c r="J249" s="287">
        <f t="shared" si="81"/>
        <v>6.2563636994693868</v>
      </c>
      <c r="K249" s="287">
        <f t="shared" si="82"/>
        <v>0.22059599999999999</v>
      </c>
      <c r="L249" s="287">
        <f t="shared" si="83"/>
        <v>179.9999991267986</v>
      </c>
      <c r="M249" s="287">
        <f t="shared" si="84"/>
        <v>750.27750000000003</v>
      </c>
      <c r="N249" s="287">
        <f t="shared" si="85"/>
        <v>494.56427043910446</v>
      </c>
      <c r="O249" s="287">
        <f t="shared" si="86"/>
        <v>93.845323224803508</v>
      </c>
      <c r="P249" s="288">
        <f t="shared" si="87"/>
        <v>3.3089399999999998</v>
      </c>
    </row>
    <row r="250" spans="1:16" s="102" customFormat="1" x14ac:dyDescent="0.3">
      <c r="A250" s="102">
        <f t="shared" si="72"/>
        <v>239</v>
      </c>
      <c r="B250" s="287">
        <f t="shared" si="73"/>
        <v>2724.0000003225996</v>
      </c>
      <c r="C250" s="287">
        <f t="shared" si="74"/>
        <v>6197.6284999999998</v>
      </c>
      <c r="D250" s="287">
        <f t="shared" si="75"/>
        <v>4903.4372477501802</v>
      </c>
      <c r="E250" s="287">
        <f t="shared" si="76"/>
        <v>1379.4695120547847</v>
      </c>
      <c r="F250" s="287">
        <f t="shared" si="77"/>
        <v>52.460817144000004</v>
      </c>
      <c r="G250" s="287">
        <f t="shared" si="78"/>
        <v>11.999999973116687</v>
      </c>
      <c r="H250" s="287">
        <f t="shared" si="79"/>
        <v>51.863</v>
      </c>
      <c r="I250" s="287">
        <f t="shared" si="80"/>
        <v>33.541039052919722</v>
      </c>
      <c r="J250" s="287">
        <f t="shared" si="81"/>
        <v>6.2563645567377364</v>
      </c>
      <c r="K250" s="287">
        <f t="shared" si="82"/>
        <v>0.22059599999999999</v>
      </c>
      <c r="L250" s="287">
        <f t="shared" si="83"/>
        <v>179.99999919661593</v>
      </c>
      <c r="M250" s="287">
        <f t="shared" si="84"/>
        <v>753.53250000000003</v>
      </c>
      <c r="N250" s="287">
        <f t="shared" si="85"/>
        <v>495.5859067548995</v>
      </c>
      <c r="O250" s="287">
        <f t="shared" si="86"/>
        <v>93.845343039952994</v>
      </c>
      <c r="P250" s="288">
        <f t="shared" si="87"/>
        <v>3.3089399999999998</v>
      </c>
    </row>
    <row r="251" spans="1:16" s="102" customFormat="1" x14ac:dyDescent="0.3">
      <c r="A251" s="102">
        <f t="shared" si="72"/>
        <v>240</v>
      </c>
      <c r="B251" s="287">
        <f t="shared" si="73"/>
        <v>2736.0000002968063</v>
      </c>
      <c r="C251" s="287">
        <f t="shared" si="74"/>
        <v>6249.5999999999995</v>
      </c>
      <c r="D251" s="287">
        <f t="shared" si="75"/>
        <v>4937.010728742277</v>
      </c>
      <c r="E251" s="287">
        <f t="shared" si="76"/>
        <v>1385.7258770212707</v>
      </c>
      <c r="F251" s="287">
        <f t="shared" si="77"/>
        <v>52.681413144000004</v>
      </c>
      <c r="G251" s="287">
        <f t="shared" si="78"/>
        <v>11.999999975266157</v>
      </c>
      <c r="H251" s="287">
        <f t="shared" si="79"/>
        <v>52.08</v>
      </c>
      <c r="I251" s="287">
        <f t="shared" si="80"/>
        <v>33.605860446834718</v>
      </c>
      <c r="J251" s="287">
        <f t="shared" si="81"/>
        <v>6.2563653689211094</v>
      </c>
      <c r="K251" s="287">
        <f t="shared" si="82"/>
        <v>0.22059599999999999</v>
      </c>
      <c r="L251" s="287">
        <f t="shared" si="83"/>
        <v>179.99999926085096</v>
      </c>
      <c r="M251" s="287">
        <f t="shared" si="84"/>
        <v>756.78750000000002</v>
      </c>
      <c r="N251" s="287">
        <f t="shared" si="85"/>
        <v>496.60165129747594</v>
      </c>
      <c r="O251" s="287">
        <f t="shared" si="86"/>
        <v>93.845361812995264</v>
      </c>
      <c r="P251" s="288">
        <f t="shared" si="87"/>
        <v>3.3089399999999998</v>
      </c>
    </row>
    <row r="252" spans="1:16" s="102" customFormat="1" x14ac:dyDescent="0.3">
      <c r="A252" s="102">
        <f t="shared" si="72"/>
        <v>241</v>
      </c>
      <c r="B252" s="287">
        <f t="shared" si="73"/>
        <v>2748.0000002730749</v>
      </c>
      <c r="C252" s="287">
        <f t="shared" si="74"/>
        <v>6301.7884999999997</v>
      </c>
      <c r="D252" s="287">
        <f t="shared" si="75"/>
        <v>4970.6488440357343</v>
      </c>
      <c r="E252" s="287">
        <f t="shared" si="76"/>
        <v>1391.9822427783906</v>
      </c>
      <c r="F252" s="287">
        <f t="shared" si="77"/>
        <v>52.902009143999997</v>
      </c>
      <c r="G252" s="287">
        <f t="shared" si="78"/>
        <v>11.999999977243766</v>
      </c>
      <c r="H252" s="287">
        <f t="shared" si="79"/>
        <v>52.296999999999997</v>
      </c>
      <c r="I252" s="287">
        <f t="shared" si="80"/>
        <v>33.670308015987658</v>
      </c>
      <c r="J252" s="287">
        <f t="shared" si="81"/>
        <v>6.2563661383905922</v>
      </c>
      <c r="K252" s="287">
        <f t="shared" si="82"/>
        <v>0.22059599999999999</v>
      </c>
      <c r="L252" s="287">
        <f t="shared" si="83"/>
        <v>179.99999931995006</v>
      </c>
      <c r="M252" s="287">
        <f t="shared" si="84"/>
        <v>760.04250000000002</v>
      </c>
      <c r="N252" s="287">
        <f t="shared" si="85"/>
        <v>497.61153804467011</v>
      </c>
      <c r="O252" s="287">
        <f t="shared" si="86"/>
        <v>93.845379598736258</v>
      </c>
      <c r="P252" s="288">
        <f t="shared" si="87"/>
        <v>3.3089399999999998</v>
      </c>
    </row>
    <row r="253" spans="1:16" s="102" customFormat="1" x14ac:dyDescent="0.3">
      <c r="A253" s="102">
        <f t="shared" si="72"/>
        <v>242</v>
      </c>
      <c r="B253" s="287">
        <f t="shared" si="73"/>
        <v>2760.0000002512411</v>
      </c>
      <c r="C253" s="287">
        <f t="shared" si="74"/>
        <v>6354.1940000000004</v>
      </c>
      <c r="D253" s="287">
        <f t="shared" si="75"/>
        <v>5004.3512208847524</v>
      </c>
      <c r="E253" s="287">
        <f t="shared" si="76"/>
        <v>1398.2386092845636</v>
      </c>
      <c r="F253" s="287">
        <f t="shared" si="77"/>
        <v>53.122605144000005</v>
      </c>
      <c r="G253" s="287">
        <f t="shared" si="78"/>
        <v>11.999999979063253</v>
      </c>
      <c r="H253" s="287">
        <f t="shared" si="79"/>
        <v>52.514000000000003</v>
      </c>
      <c r="I253" s="287">
        <f t="shared" si="80"/>
        <v>33.734383916224687</v>
      </c>
      <c r="J253" s="287">
        <f t="shared" si="81"/>
        <v>6.2563668673925665</v>
      </c>
      <c r="K253" s="287">
        <f t="shared" si="82"/>
        <v>0.22059599999999999</v>
      </c>
      <c r="L253" s="287">
        <f t="shared" si="83"/>
        <v>179.99999937432386</v>
      </c>
      <c r="M253" s="287">
        <f t="shared" si="84"/>
        <v>763.29750000000001</v>
      </c>
      <c r="N253" s="287">
        <f t="shared" si="85"/>
        <v>498.6156007783685</v>
      </c>
      <c r="O253" s="287">
        <f t="shared" si="86"/>
        <v>93.845396449099525</v>
      </c>
      <c r="P253" s="288">
        <f t="shared" si="87"/>
        <v>3.3089399999999998</v>
      </c>
    </row>
    <row r="254" spans="1:16" s="102" customFormat="1" x14ac:dyDescent="0.3">
      <c r="A254" s="102">
        <f t="shared" si="72"/>
        <v>243</v>
      </c>
      <c r="B254" s="287">
        <f t="shared" si="73"/>
        <v>2772.0000002311526</v>
      </c>
      <c r="C254" s="287">
        <f t="shared" si="74"/>
        <v>6406.8164999999999</v>
      </c>
      <c r="D254" s="287">
        <f t="shared" si="75"/>
        <v>5038.1174886931549</v>
      </c>
      <c r="E254" s="287">
        <f t="shared" si="76"/>
        <v>1404.4949765003969</v>
      </c>
      <c r="F254" s="287">
        <f t="shared" si="77"/>
        <v>53.343201143999998</v>
      </c>
      <c r="G254" s="287">
        <f t="shared" si="78"/>
        <v>11.999999980737263</v>
      </c>
      <c r="H254" s="287">
        <f t="shared" si="79"/>
        <v>52.731000000000002</v>
      </c>
      <c r="I254" s="287">
        <f t="shared" si="80"/>
        <v>33.798090290959202</v>
      </c>
      <c r="J254" s="287">
        <f t="shared" si="81"/>
        <v>6.2563675580552802</v>
      </c>
      <c r="K254" s="287">
        <f t="shared" si="82"/>
        <v>0.22059599999999999</v>
      </c>
      <c r="L254" s="287">
        <f t="shared" si="83"/>
        <v>179.99999942435016</v>
      </c>
      <c r="M254" s="287">
        <f t="shared" si="84"/>
        <v>766.55250000000001</v>
      </c>
      <c r="N254" s="287">
        <f t="shared" si="85"/>
        <v>499.61387308563747</v>
      </c>
      <c r="O254" s="287">
        <f t="shared" si="86"/>
        <v>93.84541241327797</v>
      </c>
      <c r="P254" s="288">
        <f t="shared" si="87"/>
        <v>3.3089399999999998</v>
      </c>
    </row>
    <row r="255" spans="1:16" s="102" customFormat="1" x14ac:dyDescent="0.3">
      <c r="A255" s="102">
        <f t="shared" si="72"/>
        <v>244</v>
      </c>
      <c r="B255" s="287">
        <f t="shared" si="73"/>
        <v>2784.0000002126708</v>
      </c>
      <c r="C255" s="287">
        <f t="shared" si="74"/>
        <v>6459.6559999999999</v>
      </c>
      <c r="D255" s="287">
        <f t="shared" si="75"/>
        <v>5071.947279001989</v>
      </c>
      <c r="E255" s="287">
        <f t="shared" si="76"/>
        <v>1410.7513443885678</v>
      </c>
      <c r="F255" s="287">
        <f t="shared" si="77"/>
        <v>53.563797144000006</v>
      </c>
      <c r="G255" s="287">
        <f t="shared" si="78"/>
        <v>11.999999982277426</v>
      </c>
      <c r="H255" s="287">
        <f t="shared" si="79"/>
        <v>52.948</v>
      </c>
      <c r="I255" s="287">
        <f t="shared" si="80"/>
        <v>33.861429271243551</v>
      </c>
      <c r="J255" s="287">
        <f t="shared" si="81"/>
        <v>6.2563682123950475</v>
      </c>
      <c r="K255" s="287">
        <f t="shared" si="82"/>
        <v>0.22059599999999999</v>
      </c>
      <c r="L255" s="287">
        <f t="shared" si="83"/>
        <v>179.99999947037657</v>
      </c>
      <c r="M255" s="287">
        <f t="shared" si="84"/>
        <v>769.8075</v>
      </c>
      <c r="N255" s="287">
        <f t="shared" si="85"/>
        <v>500.6063883598469</v>
      </c>
      <c r="O255" s="287">
        <f t="shared" si="86"/>
        <v>93.845427537877299</v>
      </c>
      <c r="P255" s="288">
        <f t="shared" si="87"/>
        <v>3.3089399999999998</v>
      </c>
    </row>
    <row r="256" spans="1:16" s="102" customFormat="1" x14ac:dyDescent="0.3">
      <c r="A256" s="102">
        <f t="shared" si="72"/>
        <v>245</v>
      </c>
      <c r="B256" s="287">
        <f t="shared" si="73"/>
        <v>2796.0000001956669</v>
      </c>
      <c r="C256" s="287">
        <f t="shared" si="74"/>
        <v>6512.7124999999996</v>
      </c>
      <c r="D256" s="287">
        <f t="shared" si="75"/>
        <v>5105.8402254772136</v>
      </c>
      <c r="E256" s="287">
        <f t="shared" si="76"/>
        <v>1417.0077129137173</v>
      </c>
      <c r="F256" s="287">
        <f t="shared" si="77"/>
        <v>53.784393143999999</v>
      </c>
      <c r="G256" s="287">
        <f t="shared" si="78"/>
        <v>11.999999983694446</v>
      </c>
      <c r="H256" s="287">
        <f t="shared" si="79"/>
        <v>53.164999999999999</v>
      </c>
      <c r="I256" s="287">
        <f t="shared" si="80"/>
        <v>33.924402975840287</v>
      </c>
      <c r="J256" s="287">
        <f t="shared" si="81"/>
        <v>6.2563688323221456</v>
      </c>
      <c r="K256" s="287">
        <f t="shared" si="82"/>
        <v>0.22059599999999999</v>
      </c>
      <c r="L256" s="287">
        <f t="shared" si="83"/>
        <v>179.99999951272292</v>
      </c>
      <c r="M256" s="287">
        <f t="shared" si="84"/>
        <v>773.0625</v>
      </c>
      <c r="N256" s="287">
        <f t="shared" si="85"/>
        <v>501.59317980178713</v>
      </c>
      <c r="O256" s="287">
        <f t="shared" si="86"/>
        <v>93.845441867052202</v>
      </c>
      <c r="P256" s="288">
        <f t="shared" si="87"/>
        <v>3.3089399999999998</v>
      </c>
    </row>
    <row r="257" spans="1:16" s="102" customFormat="1" x14ac:dyDescent="0.3">
      <c r="A257" s="102">
        <f t="shared" si="72"/>
        <v>246</v>
      </c>
      <c r="B257" s="287">
        <f t="shared" si="73"/>
        <v>2808.0000001800222</v>
      </c>
      <c r="C257" s="287">
        <f t="shared" si="74"/>
        <v>6565.9859999999999</v>
      </c>
      <c r="D257" s="287">
        <f t="shared" si="75"/>
        <v>5139.7959638974253</v>
      </c>
      <c r="E257" s="287">
        <f t="shared" si="76"/>
        <v>1423.2640820423455</v>
      </c>
      <c r="F257" s="287">
        <f t="shared" si="77"/>
        <v>54.004989144</v>
      </c>
      <c r="G257" s="287">
        <f t="shared" si="78"/>
        <v>11.999999984998166</v>
      </c>
      <c r="H257" s="287">
        <f t="shared" si="79"/>
        <v>53.381999999999998</v>
      </c>
      <c r="I257" s="287">
        <f t="shared" si="80"/>
        <v>33.987013511293092</v>
      </c>
      <c r="J257" s="287">
        <f t="shared" si="81"/>
        <v>6.2563694196463855</v>
      </c>
      <c r="K257" s="287">
        <f t="shared" si="82"/>
        <v>0.22059599999999999</v>
      </c>
      <c r="L257" s="287">
        <f t="shared" si="83"/>
        <v>179.99999955168346</v>
      </c>
      <c r="M257" s="287">
        <f t="shared" si="84"/>
        <v>776.3175</v>
      </c>
      <c r="N257" s="287">
        <f t="shared" si="85"/>
        <v>502.57428042077976</v>
      </c>
      <c r="O257" s="287">
        <f t="shared" si="86"/>
        <v>93.845455442635185</v>
      </c>
      <c r="P257" s="288">
        <f t="shared" si="87"/>
        <v>3.3089399999999998</v>
      </c>
    </row>
    <row r="258" spans="1:16" s="102" customFormat="1" x14ac:dyDescent="0.3">
      <c r="A258" s="102">
        <f t="shared" si="72"/>
        <v>247</v>
      </c>
      <c r="B258" s="287">
        <f t="shared" si="73"/>
        <v>2820.0000001656281</v>
      </c>
      <c r="C258" s="287">
        <f t="shared" si="74"/>
        <v>6619.4764999999998</v>
      </c>
      <c r="D258" s="287">
        <f t="shared" si="75"/>
        <v>5173.8141321416851</v>
      </c>
      <c r="E258" s="287">
        <f t="shared" si="76"/>
        <v>1429.5204517427148</v>
      </c>
      <c r="F258" s="287">
        <f t="shared" si="77"/>
        <v>54.225585144000007</v>
      </c>
      <c r="G258" s="287">
        <f t="shared" si="78"/>
        <v>11.999999986197647</v>
      </c>
      <c r="H258" s="287">
        <f t="shared" si="79"/>
        <v>53.598999999999997</v>
      </c>
      <c r="I258" s="287">
        <f t="shared" si="80"/>
        <v>34.049262971997194</v>
      </c>
      <c r="J258" s="287">
        <f t="shared" si="81"/>
        <v>6.2563699760824001</v>
      </c>
      <c r="K258" s="287">
        <f t="shared" si="82"/>
        <v>0.22059599999999999</v>
      </c>
      <c r="L258" s="287">
        <f t="shared" si="83"/>
        <v>179.99999958752886</v>
      </c>
      <c r="M258" s="287">
        <f t="shared" si="84"/>
        <v>779.57249999999999</v>
      </c>
      <c r="N258" s="287">
        <f t="shared" si="85"/>
        <v>503.54972303578171</v>
      </c>
      <c r="O258" s="287">
        <f t="shared" si="86"/>
        <v>93.845468304258731</v>
      </c>
      <c r="P258" s="288">
        <f t="shared" si="87"/>
        <v>3.3089399999999998</v>
      </c>
    </row>
    <row r="259" spans="1:16" s="102" customFormat="1" x14ac:dyDescent="0.3">
      <c r="A259" s="102">
        <f t="shared" si="72"/>
        <v>248</v>
      </c>
      <c r="B259" s="287">
        <f t="shared" si="73"/>
        <v>2832.0000001523854</v>
      </c>
      <c r="C259" s="287">
        <f t="shared" si="74"/>
        <v>6673.1840000000002</v>
      </c>
      <c r="D259" s="287">
        <f t="shared" si="75"/>
        <v>5207.8943701774087</v>
      </c>
      <c r="E259" s="287">
        <f t="shared" si="76"/>
        <v>1435.7768219847567</v>
      </c>
      <c r="F259" s="287">
        <f t="shared" si="77"/>
        <v>54.446181144000001</v>
      </c>
      <c r="G259" s="287">
        <f t="shared" si="78"/>
        <v>11.999999987301223</v>
      </c>
      <c r="H259" s="287">
        <f t="shared" si="79"/>
        <v>53.816000000000003</v>
      </c>
      <c r="I259" s="287">
        <f t="shared" si="80"/>
        <v>34.111153440269476</v>
      </c>
      <c r="J259" s="287">
        <f t="shared" si="81"/>
        <v>6.2563705032546428</v>
      </c>
      <c r="K259" s="287">
        <f t="shared" si="82"/>
        <v>0.22059599999999999</v>
      </c>
      <c r="L259" s="287">
        <f t="shared" si="83"/>
        <v>179.99999962050822</v>
      </c>
      <c r="M259" s="287">
        <f t="shared" si="84"/>
        <v>782.82749999999999</v>
      </c>
      <c r="N259" s="287">
        <f t="shared" si="85"/>
        <v>504.5195402764831</v>
      </c>
      <c r="O259" s="287">
        <f t="shared" si="86"/>
        <v>93.845480489471015</v>
      </c>
      <c r="P259" s="288">
        <f t="shared" si="87"/>
        <v>3.3089399999999998</v>
      </c>
    </row>
    <row r="260" spans="1:16" s="102" customFormat="1" x14ac:dyDescent="0.3">
      <c r="A260" s="102">
        <f t="shared" si="72"/>
        <v>249</v>
      </c>
      <c r="B260" s="287">
        <f t="shared" si="73"/>
        <v>2844.0000001402013</v>
      </c>
      <c r="C260" s="287">
        <f t="shared" si="74"/>
        <v>6727.1085000000003</v>
      </c>
      <c r="D260" s="287">
        <f t="shared" si="75"/>
        <v>5242.0363200483152</v>
      </c>
      <c r="E260" s="287">
        <f t="shared" si="76"/>
        <v>1442.0331927399836</v>
      </c>
      <c r="F260" s="287">
        <f t="shared" si="77"/>
        <v>54.666777143999994</v>
      </c>
      <c r="G260" s="287">
        <f t="shared" si="78"/>
        <v>11.99999998831656</v>
      </c>
      <c r="H260" s="287">
        <f t="shared" si="79"/>
        <v>54.033000000000001</v>
      </c>
      <c r="I260" s="287">
        <f t="shared" si="80"/>
        <v>34.172686986418071</v>
      </c>
      <c r="J260" s="287">
        <f t="shared" si="81"/>
        <v>6.2563710027021404</v>
      </c>
      <c r="K260" s="287">
        <f t="shared" si="82"/>
        <v>0.22059599999999999</v>
      </c>
      <c r="L260" s="287">
        <f t="shared" si="83"/>
        <v>179.99999965085073</v>
      </c>
      <c r="M260" s="287">
        <f t="shared" si="84"/>
        <v>786.08249999999998</v>
      </c>
      <c r="N260" s="287">
        <f t="shared" si="85"/>
        <v>505.48376458439873</v>
      </c>
      <c r="O260" s="287">
        <f t="shared" si="86"/>
        <v>93.845492033845446</v>
      </c>
      <c r="P260" s="288">
        <f t="shared" si="87"/>
        <v>3.3089399999999998</v>
      </c>
    </row>
    <row r="261" spans="1:16" s="102" customFormat="1" x14ac:dyDescent="0.3">
      <c r="A261" s="102">
        <f t="shared" si="72"/>
        <v>250</v>
      </c>
      <c r="B261" s="287">
        <f t="shared" si="73"/>
        <v>2856.0000001289914</v>
      </c>
      <c r="C261" s="287">
        <f t="shared" si="74"/>
        <v>6781.25</v>
      </c>
      <c r="D261" s="287">
        <f t="shared" si="75"/>
        <v>5276.2396258624576</v>
      </c>
      <c r="E261" s="287">
        <f t="shared" si="76"/>
        <v>1448.2895639814062</v>
      </c>
      <c r="F261" s="287">
        <f t="shared" si="77"/>
        <v>54.887373144000001</v>
      </c>
      <c r="G261" s="287">
        <f t="shared" si="78"/>
        <v>11.999999989250716</v>
      </c>
      <c r="H261" s="287">
        <f t="shared" si="79"/>
        <v>54.25</v>
      </c>
      <c r="I261" s="287">
        <f t="shared" si="80"/>
        <v>34.233865668811696</v>
      </c>
      <c r="J261" s="287">
        <f t="shared" si="81"/>
        <v>6.2563714758829745</v>
      </c>
      <c r="K261" s="287">
        <f t="shared" si="82"/>
        <v>0.22059599999999999</v>
      </c>
      <c r="L261" s="287">
        <f t="shared" si="83"/>
        <v>179.99999967876715</v>
      </c>
      <c r="M261" s="287">
        <f t="shared" si="84"/>
        <v>789.33749999999998</v>
      </c>
      <c r="N261" s="287">
        <f t="shared" si="85"/>
        <v>506.44242821395324</v>
      </c>
      <c r="O261" s="287">
        <f t="shared" si="86"/>
        <v>93.845502971084613</v>
      </c>
      <c r="P261" s="288">
        <f t="shared" si="87"/>
        <v>3.3089399999999998</v>
      </c>
    </row>
    <row r="262" spans="1:16" s="102" customFormat="1" x14ac:dyDescent="0.3">
      <c r="A262" s="102">
        <f t="shared" si="72"/>
        <v>251</v>
      </c>
      <c r="B262" s="287">
        <f t="shared" ref="B262:B311" si="88">12*A262-12*12*(1-EXP(-A262/12))</f>
        <v>2868.0000001186777</v>
      </c>
      <c r="C262" s="287">
        <f t="shared" ref="C262:C311" si="89">0.217*A262*A262/2</f>
        <v>6835.6085000000003</v>
      </c>
      <c r="D262" s="287">
        <f t="shared" ref="D262:D311" si="90">0.259*(172.9*A262-172.9*172.9*(1-EXP(-A262/172.9)))</f>
        <v>5310.5039337803182</v>
      </c>
      <c r="E262" s="287">
        <f t="shared" ref="E262:E311" si="91">0.338*(18.51*A262-18.51*18.51*(1-EXP(-A262/18.51)))</f>
        <v>1454.5459356834551</v>
      </c>
      <c r="F262" s="287">
        <f t="shared" ref="F262:F311" si="92">0.186*(1.186*A262-1.186*1.186*(1-EXP(-A262/1.186)))</f>
        <v>55.107969144000002</v>
      </c>
      <c r="G262" s="287">
        <f t="shared" ref="G262:G311" si="93">12*(1-EXP(-A262/12))</f>
        <v>11.999999990110181</v>
      </c>
      <c r="H262" s="287">
        <f t="shared" ref="H262:H311" si="94">0.217*A262</f>
        <v>54.466999999999999</v>
      </c>
      <c r="I262" s="287">
        <f t="shared" ref="I262:I311" si="95">0.259*172.9*(1-EXP(-A262/172.9))</f>
        <v>34.294691533948424</v>
      </c>
      <c r="J262" s="287">
        <f t="shared" ref="J262:J311" si="96">0.338*18.51*(1-EXP(-A262/18.51))</f>
        <v>6.2563719241785494</v>
      </c>
      <c r="K262" s="287">
        <f t="shared" ref="K262:K311" si="97">0.186*1.186*(1-EXP(-A262/1.186))</f>
        <v>0.22059599999999999</v>
      </c>
      <c r="L262" s="287">
        <f t="shared" ref="L262:L311" si="98">12*15-12*12*EXP(-A262/12)*(EXP(15/12)-1)</f>
        <v>179.99999970445151</v>
      </c>
      <c r="M262" s="287">
        <f t="shared" ref="M262:M311" si="99">0.217*(15*A262-15*15/2)</f>
        <v>792.59249999999997</v>
      </c>
      <c r="N262" s="287">
        <f t="shared" ref="N262:N311" si="100">0.259*(172.9*15-172.9*172.9*EXP(-A262/172.9)*(EXP(15/172.9)-1))</f>
        <v>507.39556323356027</v>
      </c>
      <c r="O262" s="287">
        <f t="shared" ref="O262:O311" si="101">0.338*(18.51*15-18.51*18.51*EXP(-A262/18.51)*(EXP(15/18.51)-1))</f>
        <v>93.845513333118646</v>
      </c>
      <c r="P262" s="288">
        <f t="shared" ref="P262:P311" si="102">0.186*(1.186*15-1.186*1.186*EXP(-A262/1.186)*(EXP(15/1.186)-1))</f>
        <v>3.3089399999999998</v>
      </c>
    </row>
    <row r="263" spans="1:16" s="102" customFormat="1" x14ac:dyDescent="0.3">
      <c r="A263" s="102">
        <f t="shared" si="72"/>
        <v>252</v>
      </c>
      <c r="B263" s="287">
        <f t="shared" si="88"/>
        <v>2880.0000001091889</v>
      </c>
      <c r="C263" s="287">
        <f t="shared" si="89"/>
        <v>6890.1839999999993</v>
      </c>
      <c r="D263" s="287">
        <f t="shared" si="90"/>
        <v>5344.8288920029663</v>
      </c>
      <c r="E263" s="287">
        <f t="shared" si="91"/>
        <v>1460.8023078219055</v>
      </c>
      <c r="F263" s="287">
        <f t="shared" si="92"/>
        <v>55.328565143999995</v>
      </c>
      <c r="G263" s="287">
        <f t="shared" si="93"/>
        <v>11.999999990900928</v>
      </c>
      <c r="H263" s="287">
        <f t="shared" si="94"/>
        <v>54.683999999999997</v>
      </c>
      <c r="I263" s="287">
        <f t="shared" si="95"/>
        <v>34.355166616524201</v>
      </c>
      <c r="J263" s="287">
        <f t="shared" si="96"/>
        <v>6.2563723488976137</v>
      </c>
      <c r="K263" s="287">
        <f t="shared" si="97"/>
        <v>0.22059599999999999</v>
      </c>
      <c r="L263" s="287">
        <f t="shared" si="98"/>
        <v>179.99999972808226</v>
      </c>
      <c r="M263" s="287">
        <f t="shared" si="99"/>
        <v>795.84749999999997</v>
      </c>
      <c r="N263" s="287">
        <f t="shared" si="100"/>
        <v>508.34320152669471</v>
      </c>
      <c r="O263" s="287">
        <f t="shared" si="101"/>
        <v>93.845523150198431</v>
      </c>
      <c r="P263" s="288">
        <f t="shared" si="102"/>
        <v>3.3089399999999998</v>
      </c>
    </row>
    <row r="264" spans="1:16" s="102" customFormat="1" x14ac:dyDescent="0.3">
      <c r="A264" s="102">
        <f t="shared" si="72"/>
        <v>253</v>
      </c>
      <c r="B264" s="287">
        <f t="shared" si="88"/>
        <v>2892.0000001004587</v>
      </c>
      <c r="C264" s="287">
        <f t="shared" si="89"/>
        <v>6944.9764999999998</v>
      </c>
      <c r="D264" s="287">
        <f t="shared" si="90"/>
        <v>5379.2141507602964</v>
      </c>
      <c r="E264" s="287">
        <f t="shared" si="91"/>
        <v>1467.0586803738058</v>
      </c>
      <c r="F264" s="287">
        <f t="shared" si="92"/>
        <v>55.549161144000003</v>
      </c>
      <c r="G264" s="287">
        <f t="shared" si="93"/>
        <v>11.999999991628449</v>
      </c>
      <c r="H264" s="287">
        <f t="shared" si="94"/>
        <v>54.900999999999996</v>
      </c>
      <c r="I264" s="287">
        <f t="shared" si="95"/>
        <v>34.415292939500894</v>
      </c>
      <c r="J264" s="287">
        <f t="shared" si="96"/>
        <v>6.2563727512800931</v>
      </c>
      <c r="K264" s="287">
        <f t="shared" si="97"/>
        <v>0.22059599999999999</v>
      </c>
      <c r="L264" s="287">
        <f t="shared" si="98"/>
        <v>179.99999974982362</v>
      </c>
      <c r="M264" s="287">
        <f t="shared" si="99"/>
        <v>799.10249999999996</v>
      </c>
      <c r="N264" s="287">
        <f t="shared" si="100"/>
        <v>509.28537479295989</v>
      </c>
      <c r="O264" s="287">
        <f t="shared" si="101"/>
        <v>93.845532450983839</v>
      </c>
      <c r="P264" s="288">
        <f t="shared" si="102"/>
        <v>3.3089399999999998</v>
      </c>
    </row>
    <row r="265" spans="1:16" s="102" customFormat="1" x14ac:dyDescent="0.3">
      <c r="A265" s="102">
        <f t="shared" si="72"/>
        <v>254</v>
      </c>
      <c r="B265" s="287">
        <f t="shared" si="88"/>
        <v>2904.0000000924265</v>
      </c>
      <c r="C265" s="287">
        <f t="shared" si="89"/>
        <v>6999.9859999999999</v>
      </c>
      <c r="D265" s="287">
        <f t="shared" si="90"/>
        <v>5413.6593622993278</v>
      </c>
      <c r="E265" s="287">
        <f t="shared" si="91"/>
        <v>1473.3150533174121</v>
      </c>
      <c r="F265" s="287">
        <f t="shared" si="92"/>
        <v>55.769757143999996</v>
      </c>
      <c r="G265" s="287">
        <f t="shared" si="93"/>
        <v>11.999999992297802</v>
      </c>
      <c r="H265" s="287">
        <f t="shared" si="94"/>
        <v>55.118000000000002</v>
      </c>
      <c r="I265" s="287">
        <f t="shared" si="95"/>
        <v>34.475072514173931</v>
      </c>
      <c r="J265" s="287">
        <f t="shared" si="96"/>
        <v>6.2563731325006984</v>
      </c>
      <c r="K265" s="287">
        <f t="shared" si="97"/>
        <v>0.22059599999999999</v>
      </c>
      <c r="L265" s="287">
        <f t="shared" si="98"/>
        <v>179.99999976982662</v>
      </c>
      <c r="M265" s="287">
        <f t="shared" si="99"/>
        <v>802.35749999999996</v>
      </c>
      <c r="N265" s="287">
        <f t="shared" si="100"/>
        <v>510.22211454914748</v>
      </c>
      <c r="O265" s="287">
        <f t="shared" si="101"/>
        <v>93.845541262627592</v>
      </c>
      <c r="P265" s="288">
        <f t="shared" si="102"/>
        <v>3.3089399999999998</v>
      </c>
    </row>
    <row r="266" spans="1:16" s="102" customFormat="1" x14ac:dyDescent="0.3">
      <c r="A266" s="102">
        <f t="shared" si="72"/>
        <v>255</v>
      </c>
      <c r="B266" s="287">
        <f t="shared" si="88"/>
        <v>2916.0000000850364</v>
      </c>
      <c r="C266" s="287">
        <f t="shared" si="89"/>
        <v>7055.2125000000005</v>
      </c>
      <c r="D266" s="287">
        <f t="shared" si="90"/>
        <v>5448.164180872569</v>
      </c>
      <c r="E266" s="287">
        <f t="shared" si="91"/>
        <v>1479.5714266321247</v>
      </c>
      <c r="F266" s="287">
        <f t="shared" si="92"/>
        <v>55.990353144000004</v>
      </c>
      <c r="G266" s="287">
        <f t="shared" si="93"/>
        <v>11.999999992913635</v>
      </c>
      <c r="H266" s="287">
        <f t="shared" si="94"/>
        <v>55.335000000000001</v>
      </c>
      <c r="I266" s="287">
        <f t="shared" si="95"/>
        <v>34.534507340239621</v>
      </c>
      <c r="J266" s="287">
        <f t="shared" si="96"/>
        <v>6.2563734936723643</v>
      </c>
      <c r="K266" s="287">
        <f t="shared" si="97"/>
        <v>0.22059599999999999</v>
      </c>
      <c r="L266" s="287">
        <f t="shared" si="98"/>
        <v>179.99999978823027</v>
      </c>
      <c r="M266" s="287">
        <f t="shared" si="99"/>
        <v>805.61249999999995</v>
      </c>
      <c r="N266" s="287">
        <f t="shared" si="100"/>
        <v>511.15345213029195</v>
      </c>
      <c r="O266" s="287">
        <f t="shared" si="101"/>
        <v>93.845549610854292</v>
      </c>
      <c r="P266" s="288">
        <f t="shared" si="102"/>
        <v>3.3089399999999998</v>
      </c>
    </row>
    <row r="267" spans="1:16" s="102" customFormat="1" x14ac:dyDescent="0.3">
      <c r="A267" s="102">
        <f t="shared" si="72"/>
        <v>256</v>
      </c>
      <c r="B267" s="287">
        <f t="shared" si="88"/>
        <v>2928.0000000782375</v>
      </c>
      <c r="C267" s="287">
        <f t="shared" si="89"/>
        <v>7110.6559999999999</v>
      </c>
      <c r="D267" s="287">
        <f t="shared" si="90"/>
        <v>5482.7282627264531</v>
      </c>
      <c r="E267" s="287">
        <f t="shared" si="91"/>
        <v>1485.8278002984262</v>
      </c>
      <c r="F267" s="287">
        <f t="shared" si="92"/>
        <v>56.210949144000004</v>
      </c>
      <c r="G267" s="287">
        <f t="shared" si="93"/>
        <v>11.99999999348023</v>
      </c>
      <c r="H267" s="287">
        <f t="shared" si="94"/>
        <v>55.552</v>
      </c>
      <c r="I267" s="287">
        <f t="shared" si="95"/>
        <v>34.593599405862044</v>
      </c>
      <c r="J267" s="287">
        <f t="shared" si="96"/>
        <v>6.2563738358494918</v>
      </c>
      <c r="K267" s="287">
        <f t="shared" si="97"/>
        <v>0.22059599999999999</v>
      </c>
      <c r="L267" s="287">
        <f t="shared" si="98"/>
        <v>179.99999980516242</v>
      </c>
      <c r="M267" s="287">
        <f t="shared" si="99"/>
        <v>808.86749999999995</v>
      </c>
      <c r="N267" s="287">
        <f t="shared" si="100"/>
        <v>512.07941869071863</v>
      </c>
      <c r="O267" s="287">
        <f t="shared" si="101"/>
        <v>93.845557520035754</v>
      </c>
      <c r="P267" s="288">
        <f t="shared" si="102"/>
        <v>3.3089399999999998</v>
      </c>
    </row>
    <row r="268" spans="1:16" s="102" customFormat="1" x14ac:dyDescent="0.3">
      <c r="A268" s="102">
        <f t="shared" si="72"/>
        <v>257</v>
      </c>
      <c r="B268" s="287">
        <f t="shared" si="88"/>
        <v>2940.000000071982</v>
      </c>
      <c r="C268" s="287">
        <f t="shared" si="89"/>
        <v>7166.3164999999999</v>
      </c>
      <c r="D268" s="287">
        <f t="shared" si="90"/>
        <v>5517.3512660898377</v>
      </c>
      <c r="E268" s="287">
        <f t="shared" si="91"/>
        <v>1492.0841742978259</v>
      </c>
      <c r="F268" s="287">
        <f t="shared" si="92"/>
        <v>56.431545143999998</v>
      </c>
      <c r="G268" s="287">
        <f t="shared" si="93"/>
        <v>11.999999994001522</v>
      </c>
      <c r="H268" s="287">
        <f t="shared" si="94"/>
        <v>55.768999999999998</v>
      </c>
      <c r="I268" s="287">
        <f t="shared" si="95"/>
        <v>34.652350687739514</v>
      </c>
      <c r="J268" s="287">
        <f t="shared" si="96"/>
        <v>6.256374160031033</v>
      </c>
      <c r="K268" s="287">
        <f t="shared" si="97"/>
        <v>0.22059599999999999</v>
      </c>
      <c r="L268" s="287">
        <f t="shared" si="98"/>
        <v>179.99999982074078</v>
      </c>
      <c r="M268" s="287">
        <f t="shared" si="99"/>
        <v>812.12249999999995</v>
      </c>
      <c r="N268" s="287">
        <f t="shared" si="100"/>
        <v>513.00004520508628</v>
      </c>
      <c r="O268" s="287">
        <f t="shared" si="101"/>
        <v>93.845565013262004</v>
      </c>
      <c r="P268" s="288">
        <f t="shared" si="102"/>
        <v>3.3089399999999998</v>
      </c>
    </row>
    <row r="269" spans="1:16" s="102" customFormat="1" x14ac:dyDescent="0.3">
      <c r="A269" s="102">
        <f t="shared" si="72"/>
        <v>258</v>
      </c>
      <c r="B269" s="287">
        <f t="shared" si="88"/>
        <v>2952.0000000662262</v>
      </c>
      <c r="C269" s="287">
        <f t="shared" si="89"/>
        <v>7222.1939999999995</v>
      </c>
      <c r="D269" s="287">
        <f t="shared" si="90"/>
        <v>5552.0328511625767</v>
      </c>
      <c r="E269" s="287">
        <f t="shared" si="91"/>
        <v>1498.3405486128056</v>
      </c>
      <c r="F269" s="287">
        <f t="shared" si="92"/>
        <v>56.652141144000005</v>
      </c>
      <c r="G269" s="287">
        <f t="shared" si="93"/>
        <v>11.999999994481133</v>
      </c>
      <c r="H269" s="287">
        <f t="shared" si="94"/>
        <v>55.985999999999997</v>
      </c>
      <c r="I269" s="287">
        <f t="shared" si="95"/>
        <v>34.710763151170759</v>
      </c>
      <c r="J269" s="287">
        <f t="shared" si="96"/>
        <v>6.2563744671634005</v>
      </c>
      <c r="K269" s="287">
        <f t="shared" si="97"/>
        <v>0.22059599999999999</v>
      </c>
      <c r="L269" s="287">
        <f t="shared" si="98"/>
        <v>179.99999983507357</v>
      </c>
      <c r="M269" s="287">
        <f t="shared" si="99"/>
        <v>815.37749999999994</v>
      </c>
      <c r="N269" s="287">
        <f t="shared" si="100"/>
        <v>513.91536246942235</v>
      </c>
      <c r="O269" s="287">
        <f t="shared" si="101"/>
        <v>93.845572112408718</v>
      </c>
      <c r="P269" s="288">
        <f t="shared" si="102"/>
        <v>3.3089399999999998</v>
      </c>
    </row>
    <row r="270" spans="1:16" s="102" customFormat="1" x14ac:dyDescent="0.3">
      <c r="A270" s="102">
        <f t="shared" ref="A270:A311" si="103">A269+1</f>
        <v>259</v>
      </c>
      <c r="B270" s="287">
        <f t="shared" si="88"/>
        <v>2964.0000000609311</v>
      </c>
      <c r="C270" s="287">
        <f t="shared" si="89"/>
        <v>7278.2885000000006</v>
      </c>
      <c r="D270" s="287">
        <f t="shared" si="90"/>
        <v>5586.7726801041435</v>
      </c>
      <c r="E270" s="287">
        <f t="shared" si="91"/>
        <v>1504.5969232267689</v>
      </c>
      <c r="F270" s="287">
        <f t="shared" si="92"/>
        <v>56.872737143999998</v>
      </c>
      <c r="G270" s="287">
        <f t="shared" si="93"/>
        <v>11.999999994922398</v>
      </c>
      <c r="H270" s="287">
        <f t="shared" si="94"/>
        <v>56.203000000000003</v>
      </c>
      <c r="I270" s="287">
        <f t="shared" si="95"/>
        <v>34.768838750120622</v>
      </c>
      <c r="J270" s="287">
        <f t="shared" si="96"/>
        <v>6.2563747581432345</v>
      </c>
      <c r="K270" s="287">
        <f t="shared" si="97"/>
        <v>0.22059599999999999</v>
      </c>
      <c r="L270" s="287">
        <f t="shared" si="98"/>
        <v>179.99999984826036</v>
      </c>
      <c r="M270" s="287">
        <f t="shared" si="99"/>
        <v>818.63250000000005</v>
      </c>
      <c r="N270" s="287">
        <f t="shared" si="100"/>
        <v>514.82540110215427</v>
      </c>
      <c r="O270" s="287">
        <f t="shared" si="101"/>
        <v>93.845578838201064</v>
      </c>
      <c r="P270" s="288">
        <f t="shared" si="102"/>
        <v>3.3089399999999998</v>
      </c>
    </row>
    <row r="271" spans="1:16" s="102" customFormat="1" x14ac:dyDescent="0.3">
      <c r="A271" s="102">
        <f t="shared" si="103"/>
        <v>260</v>
      </c>
      <c r="B271" s="287">
        <f t="shared" si="88"/>
        <v>2976.0000000560594</v>
      </c>
      <c r="C271" s="287">
        <f t="shared" si="89"/>
        <v>7334.6</v>
      </c>
      <c r="D271" s="287">
        <f t="shared" si="90"/>
        <v>5621.5704170223462</v>
      </c>
      <c r="E271" s="287">
        <f t="shared" si="91"/>
        <v>1510.8532981239916</v>
      </c>
      <c r="F271" s="287">
        <f t="shared" si="92"/>
        <v>57.093333144000006</v>
      </c>
      <c r="G271" s="287">
        <f t="shared" si="93"/>
        <v>11.99999999532838</v>
      </c>
      <c r="H271" s="287">
        <f t="shared" si="94"/>
        <v>56.42</v>
      </c>
      <c r="I271" s="287">
        <f t="shared" si="95"/>
        <v>34.826579427285445</v>
      </c>
      <c r="J271" s="287">
        <f t="shared" si="96"/>
        <v>6.2563750338200208</v>
      </c>
      <c r="K271" s="287">
        <f t="shared" si="97"/>
        <v>0.22059599999999999</v>
      </c>
      <c r="L271" s="287">
        <f t="shared" si="98"/>
        <v>179.99999986039279</v>
      </c>
      <c r="M271" s="287">
        <f t="shared" si="99"/>
        <v>821.88750000000005</v>
      </c>
      <c r="N271" s="287">
        <f t="shared" si="100"/>
        <v>515.7301915451327</v>
      </c>
      <c r="O271" s="287">
        <f t="shared" si="101"/>
        <v>93.845585210274336</v>
      </c>
      <c r="P271" s="288">
        <f t="shared" si="102"/>
        <v>3.3089399999999998</v>
      </c>
    </row>
    <row r="272" spans="1:16" s="102" customFormat="1" x14ac:dyDescent="0.3">
      <c r="A272" s="102">
        <f t="shared" si="103"/>
        <v>261</v>
      </c>
      <c r="B272" s="287">
        <f t="shared" si="88"/>
        <v>2988.000000051577</v>
      </c>
      <c r="C272" s="287">
        <f t="shared" si="89"/>
        <v>7391.1284999999998</v>
      </c>
      <c r="D272" s="287">
        <f t="shared" si="90"/>
        <v>5656.4257279620761</v>
      </c>
      <c r="E272" s="287">
        <f t="shared" si="91"/>
        <v>1517.1096732895767</v>
      </c>
      <c r="F272" s="287">
        <f t="shared" si="92"/>
        <v>57.313929143999999</v>
      </c>
      <c r="G272" s="287">
        <f t="shared" si="93"/>
        <v>11.999999995701902</v>
      </c>
      <c r="H272" s="287">
        <f t="shared" si="94"/>
        <v>56.637</v>
      </c>
      <c r="I272" s="287">
        <f t="shared" si="95"/>
        <v>34.883987114158039</v>
      </c>
      <c r="J272" s="287">
        <f t="shared" si="96"/>
        <v>6.2563752949985689</v>
      </c>
      <c r="K272" s="287">
        <f t="shared" si="97"/>
        <v>0.22059599999999999</v>
      </c>
      <c r="L272" s="287">
        <f t="shared" si="98"/>
        <v>179.99999987155516</v>
      </c>
      <c r="M272" s="287">
        <f t="shared" si="99"/>
        <v>825.14250000000004</v>
      </c>
      <c r="N272" s="287">
        <f t="shared" si="100"/>
        <v>516.62976406465054</v>
      </c>
      <c r="O272" s="287">
        <f t="shared" si="101"/>
        <v>93.845591247231098</v>
      </c>
      <c r="P272" s="288">
        <f t="shared" si="102"/>
        <v>3.3089399999999998</v>
      </c>
    </row>
    <row r="273" spans="1:16" s="102" customFormat="1" x14ac:dyDescent="0.3">
      <c r="A273" s="102">
        <f t="shared" si="103"/>
        <v>262</v>
      </c>
      <c r="B273" s="287">
        <f t="shared" si="88"/>
        <v>3000.0000000474533</v>
      </c>
      <c r="C273" s="287">
        <f t="shared" si="89"/>
        <v>7447.8739999999998</v>
      </c>
      <c r="D273" s="287">
        <f t="shared" si="90"/>
        <v>5691.3382808941406</v>
      </c>
      <c r="E273" s="287">
        <f t="shared" si="91"/>
        <v>1523.3660487094107</v>
      </c>
      <c r="F273" s="287">
        <f t="shared" si="92"/>
        <v>57.534525144</v>
      </c>
      <c r="G273" s="287">
        <f t="shared" si="93"/>
        <v>11.99999999604556</v>
      </c>
      <c r="H273" s="287">
        <f t="shared" si="94"/>
        <v>56.853999999999999</v>
      </c>
      <c r="I273" s="287">
        <f t="shared" si="95"/>
        <v>34.941063731092306</v>
      </c>
      <c r="J273" s="287">
        <f t="shared" si="96"/>
        <v>6.2563755424413614</v>
      </c>
      <c r="K273" s="287">
        <f t="shared" si="97"/>
        <v>0.22059599999999999</v>
      </c>
      <c r="L273" s="287">
        <f t="shared" si="98"/>
        <v>179.99999988182503</v>
      </c>
      <c r="M273" s="287">
        <f t="shared" si="99"/>
        <v>828.39750000000004</v>
      </c>
      <c r="N273" s="287">
        <f t="shared" si="100"/>
        <v>517.52414875245495</v>
      </c>
      <c r="O273" s="287">
        <f t="shared" si="101"/>
        <v>93.845596966695638</v>
      </c>
      <c r="P273" s="288">
        <f t="shared" si="102"/>
        <v>3.3089399999999998</v>
      </c>
    </row>
    <row r="274" spans="1:16" s="102" customFormat="1" x14ac:dyDescent="0.3">
      <c r="A274" s="102">
        <f t="shared" si="103"/>
        <v>263</v>
      </c>
      <c r="B274" s="287">
        <f t="shared" si="88"/>
        <v>3012.0000000436589</v>
      </c>
      <c r="C274" s="287">
        <f t="shared" si="89"/>
        <v>7504.8364999999994</v>
      </c>
      <c r="D274" s="287">
        <f t="shared" si="90"/>
        <v>5726.3077457041636</v>
      </c>
      <c r="E274" s="287">
        <f t="shared" si="91"/>
        <v>1529.622424370122</v>
      </c>
      <c r="F274" s="287">
        <f t="shared" si="92"/>
        <v>57.755121144000007</v>
      </c>
      <c r="G274" s="287">
        <f t="shared" si="93"/>
        <v>11.999999996361741</v>
      </c>
      <c r="H274" s="287">
        <f t="shared" si="94"/>
        <v>57.070999999999998</v>
      </c>
      <c r="I274" s="287">
        <f t="shared" si="95"/>
        <v>34.997811187367475</v>
      </c>
      <c r="J274" s="287">
        <f t="shared" si="96"/>
        <v>6.2563757768707813</v>
      </c>
      <c r="K274" s="287">
        <f t="shared" si="97"/>
        <v>0.22059599999999999</v>
      </c>
      <c r="L274" s="287">
        <f t="shared" si="98"/>
        <v>179.9999998912738</v>
      </c>
      <c r="M274" s="287">
        <f t="shared" si="99"/>
        <v>831.65250000000003</v>
      </c>
      <c r="N274" s="287">
        <f t="shared" si="100"/>
        <v>518.41337552675395</v>
      </c>
      <c r="O274" s="287">
        <f t="shared" si="101"/>
        <v>93.845602385365311</v>
      </c>
      <c r="P274" s="288">
        <f t="shared" si="102"/>
        <v>3.3089399999999998</v>
      </c>
    </row>
    <row r="275" spans="1:16" s="102" customFormat="1" x14ac:dyDescent="0.3">
      <c r="A275" s="102">
        <f t="shared" si="103"/>
        <v>264</v>
      </c>
      <c r="B275" s="287">
        <f t="shared" si="88"/>
        <v>3024.0000000401683</v>
      </c>
      <c r="C275" s="287">
        <f t="shared" si="89"/>
        <v>7562.0159999999996</v>
      </c>
      <c r="D275" s="287">
        <f t="shared" si="90"/>
        <v>5761.3337941815325</v>
      </c>
      <c r="E275" s="287">
        <f t="shared" si="91"/>
        <v>1535.8788002590429</v>
      </c>
      <c r="F275" s="287">
        <f t="shared" si="92"/>
        <v>57.975717144000001</v>
      </c>
      <c r="G275" s="287">
        <f t="shared" si="93"/>
        <v>11.999999996652639</v>
      </c>
      <c r="H275" s="287">
        <f t="shared" si="94"/>
        <v>57.287999999999997</v>
      </c>
      <c r="I275" s="287">
        <f t="shared" si="95"/>
        <v>35.054231381251974</v>
      </c>
      <c r="J275" s="287">
        <f t="shared" si="96"/>
        <v>6.2563759989712207</v>
      </c>
      <c r="K275" s="287">
        <f t="shared" si="97"/>
        <v>0.22059599999999999</v>
      </c>
      <c r="L275" s="287">
        <f t="shared" si="98"/>
        <v>179.99999989996707</v>
      </c>
      <c r="M275" s="287">
        <f t="shared" si="99"/>
        <v>834.90750000000003</v>
      </c>
      <c r="N275" s="287">
        <f t="shared" si="100"/>
        <v>519.29747413321763</v>
      </c>
      <c r="O275" s="287">
        <f t="shared" si="101"/>
        <v>93.845607519059328</v>
      </c>
      <c r="P275" s="288">
        <f t="shared" si="102"/>
        <v>3.3089399999999998</v>
      </c>
    </row>
    <row r="276" spans="1:16" s="102" customFormat="1" x14ac:dyDescent="0.3">
      <c r="A276" s="102">
        <f t="shared" si="103"/>
        <v>265</v>
      </c>
      <c r="B276" s="287">
        <f t="shared" si="88"/>
        <v>3036.0000000369569</v>
      </c>
      <c r="C276" s="287">
        <f t="shared" si="89"/>
        <v>7619.4125000000004</v>
      </c>
      <c r="D276" s="287">
        <f t="shared" si="90"/>
        <v>5796.4161000084314</v>
      </c>
      <c r="E276" s="287">
        <f t="shared" si="91"/>
        <v>1542.1351763641712</v>
      </c>
      <c r="F276" s="287">
        <f t="shared" si="92"/>
        <v>58.196313143999994</v>
      </c>
      <c r="G276" s="287">
        <f t="shared" si="93"/>
        <v>11.999999996920279</v>
      </c>
      <c r="H276" s="287">
        <f t="shared" si="94"/>
        <v>57.505000000000003</v>
      </c>
      <c r="I276" s="287">
        <f t="shared" si="95"/>
        <v>35.110326200066908</v>
      </c>
      <c r="J276" s="287">
        <f t="shared" si="96"/>
        <v>6.2563762093910782</v>
      </c>
      <c r="K276" s="287">
        <f t="shared" si="97"/>
        <v>0.22059599999999999</v>
      </c>
      <c r="L276" s="287">
        <f t="shared" si="98"/>
        <v>179.99999990796525</v>
      </c>
      <c r="M276" s="287">
        <f t="shared" si="99"/>
        <v>838.16250000000002</v>
      </c>
      <c r="N276" s="287">
        <f t="shared" si="100"/>
        <v>520.17647414597263</v>
      </c>
      <c r="O276" s="287">
        <f t="shared" si="101"/>
        <v>93.845612382765026</v>
      </c>
      <c r="P276" s="288">
        <f t="shared" si="102"/>
        <v>3.3089399999999998</v>
      </c>
    </row>
    <row r="277" spans="1:16" s="102" customFormat="1" x14ac:dyDescent="0.3">
      <c r="A277" s="102">
        <f t="shared" si="103"/>
        <v>266</v>
      </c>
      <c r="B277" s="287">
        <f t="shared" si="88"/>
        <v>3048.0000000340019</v>
      </c>
      <c r="C277" s="287">
        <f t="shared" si="89"/>
        <v>7677.0259999999998</v>
      </c>
      <c r="D277" s="287">
        <f t="shared" si="90"/>
        <v>5831.5543387489088</v>
      </c>
      <c r="E277" s="287">
        <f t="shared" si="91"/>
        <v>1548.3915526741366</v>
      </c>
      <c r="F277" s="287">
        <f t="shared" si="92"/>
        <v>58.416909144000002</v>
      </c>
      <c r="G277" s="287">
        <f t="shared" si="93"/>
        <v>11.999999997166519</v>
      </c>
      <c r="H277" s="287">
        <f t="shared" si="94"/>
        <v>57.722000000000001</v>
      </c>
      <c r="I277" s="287">
        <f t="shared" si="95"/>
        <v>35.166097520249224</v>
      </c>
      <c r="J277" s="287">
        <f t="shared" si="96"/>
        <v>6.2563764087446536</v>
      </c>
      <c r="K277" s="287">
        <f t="shared" si="97"/>
        <v>0.22059599999999999</v>
      </c>
      <c r="L277" s="287">
        <f t="shared" si="98"/>
        <v>179.99999991532394</v>
      </c>
      <c r="M277" s="287">
        <f t="shared" si="99"/>
        <v>841.41750000000002</v>
      </c>
      <c r="N277" s="287">
        <f t="shared" si="100"/>
        <v>521.05040496859192</v>
      </c>
      <c r="O277" s="287">
        <f t="shared" si="101"/>
        <v>93.845616990681421</v>
      </c>
      <c r="P277" s="288">
        <f t="shared" si="102"/>
        <v>3.3089399999999998</v>
      </c>
    </row>
    <row r="278" spans="1:16" s="102" customFormat="1" x14ac:dyDescent="0.3">
      <c r="A278" s="102">
        <f t="shared" si="103"/>
        <v>267</v>
      </c>
      <c r="B278" s="287">
        <f t="shared" si="88"/>
        <v>3060.000000031283</v>
      </c>
      <c r="C278" s="287">
        <f t="shared" si="89"/>
        <v>7734.8564999999999</v>
      </c>
      <c r="D278" s="287">
        <f t="shared" si="90"/>
        <v>5866.748187838044</v>
      </c>
      <c r="E278" s="287">
        <f t="shared" si="91"/>
        <v>1554.6479291781661</v>
      </c>
      <c r="F278" s="287">
        <f t="shared" si="92"/>
        <v>58.637505144000002</v>
      </c>
      <c r="G278" s="287">
        <f t="shared" si="93"/>
        <v>11.999999997393072</v>
      </c>
      <c r="H278" s="287">
        <f t="shared" si="94"/>
        <v>57.939</v>
      </c>
      <c r="I278" s="287">
        <f t="shared" si="95"/>
        <v>35.221547207414439</v>
      </c>
      <c r="J278" s="287">
        <f t="shared" si="96"/>
        <v>6.2563765976139374</v>
      </c>
      <c r="K278" s="287">
        <f t="shared" si="97"/>
        <v>0.22059599999999999</v>
      </c>
      <c r="L278" s="287">
        <f t="shared" si="98"/>
        <v>179.99999992209428</v>
      </c>
      <c r="M278" s="287">
        <f t="shared" si="99"/>
        <v>844.67250000000001</v>
      </c>
      <c r="N278" s="287">
        <f t="shared" si="100"/>
        <v>521.91929583507795</v>
      </c>
      <c r="O278" s="287">
        <f t="shared" si="101"/>
        <v>93.845621356260864</v>
      </c>
      <c r="P278" s="288">
        <f t="shared" si="102"/>
        <v>3.3089399999999998</v>
      </c>
    </row>
    <row r="279" spans="1:16" s="102" customFormat="1" x14ac:dyDescent="0.3">
      <c r="A279" s="102">
        <f t="shared" si="103"/>
        <v>268</v>
      </c>
      <c r="B279" s="287">
        <f t="shared" si="88"/>
        <v>3072.0000000287819</v>
      </c>
      <c r="C279" s="287">
        <f t="shared" si="89"/>
        <v>7792.9039999999995</v>
      </c>
      <c r="D279" s="287">
        <f t="shared" si="90"/>
        <v>5901.9973265711378</v>
      </c>
      <c r="E279" s="287">
        <f t="shared" si="91"/>
        <v>1560.9043058660538</v>
      </c>
      <c r="F279" s="287">
        <f t="shared" si="92"/>
        <v>58.858101143999995</v>
      </c>
      <c r="G279" s="287">
        <f t="shared" si="93"/>
        <v>11.99999999760151</v>
      </c>
      <c r="H279" s="287">
        <f t="shared" si="94"/>
        <v>58.155999999999999</v>
      </c>
      <c r="I279" s="287">
        <f t="shared" si="95"/>
        <v>35.276677116419101</v>
      </c>
      <c r="J279" s="287">
        <f t="shared" si="96"/>
        <v>6.2563767765503142</v>
      </c>
      <c r="K279" s="287">
        <f t="shared" si="97"/>
        <v>0.22059599999999999</v>
      </c>
      <c r="L279" s="287">
        <f t="shared" si="98"/>
        <v>179.99999992832326</v>
      </c>
      <c r="M279" s="287">
        <f t="shared" si="99"/>
        <v>847.92750000000001</v>
      </c>
      <c r="N279" s="287">
        <f t="shared" si="100"/>
        <v>522.78317581084104</v>
      </c>
      <c r="O279" s="287">
        <f t="shared" si="101"/>
        <v>93.845625492248217</v>
      </c>
      <c r="P279" s="288">
        <f t="shared" si="102"/>
        <v>3.3089399999999998</v>
      </c>
    </row>
    <row r="280" spans="1:16" s="102" customFormat="1" x14ac:dyDescent="0.3">
      <c r="A280" s="102">
        <f t="shared" si="103"/>
        <v>269</v>
      </c>
      <c r="B280" s="287">
        <f t="shared" si="88"/>
        <v>3084.0000000264808</v>
      </c>
      <c r="C280" s="287">
        <f t="shared" si="89"/>
        <v>7851.1684999999998</v>
      </c>
      <c r="D280" s="287">
        <f t="shared" si="90"/>
        <v>5937.3014360929992</v>
      </c>
      <c r="E280" s="287">
        <f t="shared" si="91"/>
        <v>1567.1606827281305</v>
      </c>
      <c r="F280" s="287">
        <f t="shared" si="92"/>
        <v>59.078697144000003</v>
      </c>
      <c r="G280" s="287">
        <f t="shared" si="93"/>
        <v>11.999999997793282</v>
      </c>
      <c r="H280" s="287">
        <f t="shared" si="94"/>
        <v>58.372999999999998</v>
      </c>
      <c r="I280" s="287">
        <f t="shared" si="95"/>
        <v>35.331489091422789</v>
      </c>
      <c r="J280" s="287">
        <f t="shared" si="96"/>
        <v>6.2563769460761689</v>
      </c>
      <c r="K280" s="287">
        <f t="shared" si="97"/>
        <v>0.22059599999999999</v>
      </c>
      <c r="L280" s="287">
        <f t="shared" si="98"/>
        <v>179.99999993405422</v>
      </c>
      <c r="M280" s="287">
        <f t="shared" si="99"/>
        <v>851.1825</v>
      </c>
      <c r="N280" s="287">
        <f t="shared" si="100"/>
        <v>523.64207379367122</v>
      </c>
      <c r="O280" s="287">
        <f t="shared" si="101"/>
        <v>93.845629410718047</v>
      </c>
      <c r="P280" s="288">
        <f t="shared" si="102"/>
        <v>3.3089399999999998</v>
      </c>
    </row>
    <row r="281" spans="1:16" s="102" customFormat="1" x14ac:dyDescent="0.3">
      <c r="A281" s="102">
        <f t="shared" si="103"/>
        <v>270</v>
      </c>
      <c r="B281" s="287">
        <f t="shared" si="88"/>
        <v>3096.0000000243635</v>
      </c>
      <c r="C281" s="287">
        <f t="shared" si="89"/>
        <v>7909.65</v>
      </c>
      <c r="D281" s="287">
        <f t="shared" si="90"/>
        <v>5972.6601993872746</v>
      </c>
      <c r="E281" s="287">
        <f t="shared" si="91"/>
        <v>1573.4170597552347</v>
      </c>
      <c r="F281" s="287">
        <f t="shared" si="92"/>
        <v>59.299293143999996</v>
      </c>
      <c r="G281" s="287">
        <f t="shared" si="93"/>
        <v>11.999999997969724</v>
      </c>
      <c r="H281" s="287">
        <f t="shared" si="94"/>
        <v>58.589999999999996</v>
      </c>
      <c r="I281" s="287">
        <f t="shared" si="95"/>
        <v>35.385984965949831</v>
      </c>
      <c r="J281" s="287">
        <f t="shared" si="96"/>
        <v>6.2563771066864158</v>
      </c>
      <c r="K281" s="287">
        <f t="shared" si="97"/>
        <v>0.22059599999999999</v>
      </c>
      <c r="L281" s="287">
        <f t="shared" si="98"/>
        <v>179.99999993932695</v>
      </c>
      <c r="M281" s="287">
        <f t="shared" si="99"/>
        <v>854.4375</v>
      </c>
      <c r="N281" s="287">
        <f t="shared" si="100"/>
        <v>524.49601851470516</v>
      </c>
      <c r="O281" s="287">
        <f t="shared" si="101"/>
        <v>93.84563312310992</v>
      </c>
      <c r="P281" s="288">
        <f t="shared" si="102"/>
        <v>3.3089399999999998</v>
      </c>
    </row>
    <row r="282" spans="1:16" s="102" customFormat="1" x14ac:dyDescent="0.3">
      <c r="A282" s="102">
        <f t="shared" si="103"/>
        <v>271</v>
      </c>
      <c r="B282" s="287">
        <f t="shared" si="88"/>
        <v>3108.0000000224154</v>
      </c>
      <c r="C282" s="287">
        <f t="shared" si="89"/>
        <v>7968.3485000000001</v>
      </c>
      <c r="D282" s="287">
        <f t="shared" si="90"/>
        <v>6008.0733012658393</v>
      </c>
      <c r="E282" s="287">
        <f t="shared" si="91"/>
        <v>1579.6734369386877</v>
      </c>
      <c r="F282" s="287">
        <f t="shared" si="92"/>
        <v>59.519889144000004</v>
      </c>
      <c r="G282" s="287">
        <f t="shared" si="93"/>
        <v>11.999999998132054</v>
      </c>
      <c r="H282" s="287">
        <f t="shared" si="94"/>
        <v>58.807000000000002</v>
      </c>
      <c r="I282" s="287">
        <f t="shared" si="95"/>
        <v>35.440166562950608</v>
      </c>
      <c r="J282" s="287">
        <f t="shared" si="96"/>
        <v>6.2563772588499384</v>
      </c>
      <c r="K282" s="287">
        <f t="shared" si="97"/>
        <v>0.22059599999999999</v>
      </c>
      <c r="L282" s="287">
        <f t="shared" si="98"/>
        <v>179.99999994417811</v>
      </c>
      <c r="M282" s="287">
        <f t="shared" si="99"/>
        <v>857.6925</v>
      </c>
      <c r="N282" s="287">
        <f t="shared" si="100"/>
        <v>525.34503853938679</v>
      </c>
      <c r="O282" s="287">
        <f t="shared" si="101"/>
        <v>93.845636640261759</v>
      </c>
      <c r="P282" s="288">
        <f t="shared" si="102"/>
        <v>3.3089399999999998</v>
      </c>
    </row>
    <row r="283" spans="1:16" s="102" customFormat="1" x14ac:dyDescent="0.3">
      <c r="A283" s="102">
        <f t="shared" si="103"/>
        <v>272</v>
      </c>
      <c r="B283" s="287">
        <f t="shared" si="88"/>
        <v>3120.0000000206232</v>
      </c>
      <c r="C283" s="287">
        <f t="shared" si="89"/>
        <v>8027.2640000000001</v>
      </c>
      <c r="D283" s="287">
        <f t="shared" si="90"/>
        <v>6043.5404283582629</v>
      </c>
      <c r="E283" s="287">
        <f t="shared" si="91"/>
        <v>1585.9298142702673</v>
      </c>
      <c r="F283" s="287">
        <f t="shared" si="92"/>
        <v>59.740485143999997</v>
      </c>
      <c r="G283" s="287">
        <f t="shared" si="93"/>
        <v>11.999999998281407</v>
      </c>
      <c r="H283" s="287">
        <f t="shared" si="94"/>
        <v>59.024000000000001</v>
      </c>
      <c r="I283" s="287">
        <f t="shared" si="95"/>
        <v>35.494035694862568</v>
      </c>
      <c r="J283" s="287">
        <f t="shared" si="96"/>
        <v>6.2563774030109629</v>
      </c>
      <c r="K283" s="287">
        <f t="shared" si="97"/>
        <v>0.22059599999999999</v>
      </c>
      <c r="L283" s="287">
        <f t="shared" si="98"/>
        <v>179.99999994864137</v>
      </c>
      <c r="M283" s="287">
        <f t="shared" si="99"/>
        <v>860.94749999999999</v>
      </c>
      <c r="N283" s="287">
        <f t="shared" si="100"/>
        <v>526.18916226842373</v>
      </c>
      <c r="O283" s="287">
        <f t="shared" si="101"/>
        <v>93.845639972441518</v>
      </c>
      <c r="P283" s="288">
        <f t="shared" si="102"/>
        <v>3.3089399999999998</v>
      </c>
    </row>
    <row r="284" spans="1:16" s="102" customFormat="1" x14ac:dyDescent="0.3">
      <c r="A284" s="102">
        <f t="shared" si="103"/>
        <v>273</v>
      </c>
      <c r="B284" s="287">
        <f t="shared" si="88"/>
        <v>3132.0000000189743</v>
      </c>
      <c r="C284" s="287">
        <f t="shared" si="89"/>
        <v>8086.3964999999998</v>
      </c>
      <c r="D284" s="287">
        <f t="shared" si="90"/>
        <v>6079.0612691013139</v>
      </c>
      <c r="E284" s="287">
        <f t="shared" si="91"/>
        <v>1592.1861917421829</v>
      </c>
      <c r="F284" s="287">
        <f t="shared" si="92"/>
        <v>59.961081143999998</v>
      </c>
      <c r="G284" s="287">
        <f t="shared" si="93"/>
        <v>11.999999998418819</v>
      </c>
      <c r="H284" s="287">
        <f t="shared" si="94"/>
        <v>59.241</v>
      </c>
      <c r="I284" s="287">
        <f t="shared" si="95"/>
        <v>35.547594163670837</v>
      </c>
      <c r="J284" s="287">
        <f t="shared" si="96"/>
        <v>6.2563775395903516</v>
      </c>
      <c r="K284" s="287">
        <f t="shared" si="97"/>
        <v>0.22059599999999999</v>
      </c>
      <c r="L284" s="287">
        <f t="shared" si="98"/>
        <v>179.99999995274777</v>
      </c>
      <c r="M284" s="287">
        <f t="shared" si="99"/>
        <v>864.20249999999999</v>
      </c>
      <c r="N284" s="287">
        <f t="shared" si="100"/>
        <v>527.02841793873665</v>
      </c>
      <c r="O284" s="287">
        <f t="shared" si="101"/>
        <v>93.845643129377152</v>
      </c>
      <c r="P284" s="288">
        <f t="shared" si="102"/>
        <v>3.3089399999999998</v>
      </c>
    </row>
    <row r="285" spans="1:16" s="102" customFormat="1" x14ac:dyDescent="0.3">
      <c r="A285" s="102">
        <f t="shared" si="103"/>
        <v>274</v>
      </c>
      <c r="B285" s="287">
        <f t="shared" si="88"/>
        <v>3144.0000000174573</v>
      </c>
      <c r="C285" s="287">
        <f t="shared" si="89"/>
        <v>8145.7460000000001</v>
      </c>
      <c r="D285" s="287">
        <f t="shared" si="90"/>
        <v>6114.6355137285482</v>
      </c>
      <c r="E285" s="287">
        <f t="shared" si="91"/>
        <v>1598.4425693470541</v>
      </c>
      <c r="F285" s="287">
        <f t="shared" si="92"/>
        <v>60.181677144000005</v>
      </c>
      <c r="G285" s="287">
        <f t="shared" si="93"/>
        <v>11.999999998545242</v>
      </c>
      <c r="H285" s="287">
        <f t="shared" si="94"/>
        <v>59.457999999999998</v>
      </c>
      <c r="I285" s="287">
        <f t="shared" si="95"/>
        <v>35.600843760968488</v>
      </c>
      <c r="J285" s="287">
        <f t="shared" si="96"/>
        <v>6.2563776689868336</v>
      </c>
      <c r="K285" s="287">
        <f t="shared" si="97"/>
        <v>0.22059599999999999</v>
      </c>
      <c r="L285" s="287">
        <f t="shared" si="98"/>
        <v>179.99999995652587</v>
      </c>
      <c r="M285" s="287">
        <f t="shared" si="99"/>
        <v>867.45749999999998</v>
      </c>
      <c r="N285" s="287">
        <f t="shared" si="100"/>
        <v>527.86283362440372</v>
      </c>
      <c r="O285" s="287">
        <f t="shared" si="101"/>
        <v>93.845646120284997</v>
      </c>
      <c r="P285" s="288">
        <f t="shared" si="102"/>
        <v>3.3089399999999998</v>
      </c>
    </row>
    <row r="286" spans="1:16" s="102" customFormat="1" x14ac:dyDescent="0.3">
      <c r="A286" s="102">
        <f t="shared" si="103"/>
        <v>275</v>
      </c>
      <c r="B286" s="287">
        <f t="shared" si="88"/>
        <v>3156.0000000160612</v>
      </c>
      <c r="C286" s="287">
        <f t="shared" si="89"/>
        <v>8205.3125</v>
      </c>
      <c r="D286" s="287">
        <f t="shared" si="90"/>
        <v>6150.2628542599468</v>
      </c>
      <c r="E286" s="287">
        <f t="shared" si="91"/>
        <v>1604.6989470778881</v>
      </c>
      <c r="F286" s="287">
        <f t="shared" si="92"/>
        <v>60.402273143999999</v>
      </c>
      <c r="G286" s="287">
        <f t="shared" si="93"/>
        <v>11.999999998661558</v>
      </c>
      <c r="H286" s="287">
        <f t="shared" si="94"/>
        <v>59.674999999999997</v>
      </c>
      <c r="I286" s="287">
        <f t="shared" si="95"/>
        <v>35.653786268016496</v>
      </c>
      <c r="J286" s="287">
        <f t="shared" si="96"/>
        <v>6.2563777915781689</v>
      </c>
      <c r="K286" s="287">
        <f t="shared" si="97"/>
        <v>0.22059599999999999</v>
      </c>
      <c r="L286" s="287">
        <f t="shared" si="98"/>
        <v>179.99999996000187</v>
      </c>
      <c r="M286" s="287">
        <f t="shared" si="99"/>
        <v>870.71249999999998</v>
      </c>
      <c r="N286" s="287">
        <f t="shared" si="100"/>
        <v>528.69243723760042</v>
      </c>
      <c r="O286" s="287">
        <f t="shared" si="101"/>
        <v>93.845648953896699</v>
      </c>
      <c r="P286" s="288">
        <f t="shared" si="102"/>
        <v>3.3089399999999998</v>
      </c>
    </row>
    <row r="287" spans="1:16" s="102" customFormat="1" x14ac:dyDescent="0.3">
      <c r="A287" s="102">
        <f t="shared" si="103"/>
        <v>276</v>
      </c>
      <c r="B287" s="287">
        <f t="shared" si="88"/>
        <v>3168.000000014777</v>
      </c>
      <c r="C287" s="287">
        <f t="shared" si="89"/>
        <v>8265.0959999999995</v>
      </c>
      <c r="D287" s="287">
        <f t="shared" si="90"/>
        <v>6185.9429844916085</v>
      </c>
      <c r="E287" s="287">
        <f t="shared" si="91"/>
        <v>1610.9553249280614</v>
      </c>
      <c r="F287" s="287">
        <f t="shared" si="92"/>
        <v>60.622869144000006</v>
      </c>
      <c r="G287" s="287">
        <f t="shared" si="93"/>
        <v>11.999999998768574</v>
      </c>
      <c r="H287" s="287">
        <f t="shared" si="94"/>
        <v>59.892000000000003</v>
      </c>
      <c r="I287" s="287">
        <f t="shared" si="95"/>
        <v>35.706423455803304</v>
      </c>
      <c r="J287" s="287">
        <f t="shared" si="96"/>
        <v>6.256377907722249</v>
      </c>
      <c r="K287" s="287">
        <f t="shared" si="97"/>
        <v>0.22059599999999999</v>
      </c>
      <c r="L287" s="287">
        <f t="shared" si="98"/>
        <v>179.99999996319994</v>
      </c>
      <c r="M287" s="287">
        <f t="shared" si="99"/>
        <v>873.96749999999997</v>
      </c>
      <c r="N287" s="287">
        <f t="shared" si="100"/>
        <v>529.51725652953257</v>
      </c>
      <c r="O287" s="287">
        <f t="shared" si="101"/>
        <v>93.845651638484696</v>
      </c>
      <c r="P287" s="288">
        <f t="shared" si="102"/>
        <v>3.3089399999999998</v>
      </c>
    </row>
    <row r="288" spans="1:16" s="102" customFormat="1" x14ac:dyDescent="0.3">
      <c r="A288" s="102">
        <f t="shared" si="103"/>
        <v>277</v>
      </c>
      <c r="B288" s="287">
        <f t="shared" si="88"/>
        <v>3180.0000000135956</v>
      </c>
      <c r="C288" s="287">
        <f t="shared" si="89"/>
        <v>8325.0964999999997</v>
      </c>
      <c r="D288" s="287">
        <f t="shared" si="90"/>
        <v>6221.675599985505</v>
      </c>
      <c r="E288" s="287">
        <f t="shared" si="91"/>
        <v>1617.2117028912971</v>
      </c>
      <c r="F288" s="287">
        <f t="shared" si="92"/>
        <v>60.843465144</v>
      </c>
      <c r="G288" s="287">
        <f t="shared" si="93"/>
        <v>11.999999998867034</v>
      </c>
      <c r="H288" s="287">
        <f t="shared" si="94"/>
        <v>60.109000000000002</v>
      </c>
      <c r="I288" s="287">
        <f t="shared" si="95"/>
        <v>35.758757085104079</v>
      </c>
      <c r="J288" s="287">
        <f t="shared" si="96"/>
        <v>6.2563780177581449</v>
      </c>
      <c r="K288" s="287">
        <f t="shared" si="97"/>
        <v>0.22059599999999999</v>
      </c>
      <c r="L288" s="287">
        <f t="shared" si="98"/>
        <v>179.9999999661423</v>
      </c>
      <c r="M288" s="287">
        <f t="shared" si="99"/>
        <v>877.22249999999997</v>
      </c>
      <c r="N288" s="287">
        <f t="shared" si="100"/>
        <v>530.33731909136486</v>
      </c>
      <c r="O288" s="287">
        <f t="shared" si="101"/>
        <v>93.845654181886346</v>
      </c>
      <c r="P288" s="288">
        <f t="shared" si="102"/>
        <v>3.3089399999999998</v>
      </c>
    </row>
    <row r="289" spans="1:16" s="102" customFormat="1" x14ac:dyDescent="0.3">
      <c r="A289" s="102">
        <f t="shared" si="103"/>
        <v>278</v>
      </c>
      <c r="B289" s="287">
        <f t="shared" si="88"/>
        <v>3192.0000000125087</v>
      </c>
      <c r="C289" s="287">
        <f t="shared" si="89"/>
        <v>8385.3140000000003</v>
      </c>
      <c r="D289" s="287">
        <f t="shared" si="90"/>
        <v>6257.4603980593083</v>
      </c>
      <c r="E289" s="287">
        <f t="shared" si="91"/>
        <v>1623.4680809616489</v>
      </c>
      <c r="F289" s="287">
        <f t="shared" si="92"/>
        <v>61.064061144</v>
      </c>
      <c r="G289" s="287">
        <f t="shared" si="93"/>
        <v>11.99999999895762</v>
      </c>
      <c r="H289" s="287">
        <f t="shared" si="94"/>
        <v>60.326000000000001</v>
      </c>
      <c r="I289" s="287">
        <f t="shared" si="95"/>
        <v>35.810788906539578</v>
      </c>
      <c r="J289" s="287">
        <f t="shared" si="96"/>
        <v>6.2563781220070958</v>
      </c>
      <c r="K289" s="287">
        <f t="shared" si="97"/>
        <v>0.22059599999999999</v>
      </c>
      <c r="L289" s="287">
        <f t="shared" si="98"/>
        <v>179.99999996884941</v>
      </c>
      <c r="M289" s="287">
        <f t="shared" si="99"/>
        <v>880.47749999999996</v>
      </c>
      <c r="N289" s="287">
        <f t="shared" si="100"/>
        <v>531.1526523551438</v>
      </c>
      <c r="O289" s="287">
        <f t="shared" si="101"/>
        <v>93.845656591526847</v>
      </c>
      <c r="P289" s="288">
        <f t="shared" si="102"/>
        <v>3.3089399999999998</v>
      </c>
    </row>
    <row r="290" spans="1:16" s="102" customFormat="1" x14ac:dyDescent="0.3">
      <c r="A290" s="102">
        <f t="shared" si="103"/>
        <v>279</v>
      </c>
      <c r="B290" s="287">
        <f t="shared" si="88"/>
        <v>3204.0000000115083</v>
      </c>
      <c r="C290" s="287">
        <f t="shared" si="89"/>
        <v>8445.7484999999997</v>
      </c>
      <c r="D290" s="287">
        <f t="shared" si="90"/>
        <v>6293.2970777762484</v>
      </c>
      <c r="E290" s="287">
        <f t="shared" si="91"/>
        <v>1629.7244591334841</v>
      </c>
      <c r="F290" s="287">
        <f t="shared" si="92"/>
        <v>61.284657144000008</v>
      </c>
      <c r="G290" s="287">
        <f t="shared" si="93"/>
        <v>11.999999999040964</v>
      </c>
      <c r="H290" s="287">
        <f t="shared" si="94"/>
        <v>60.542999999999999</v>
      </c>
      <c r="I290" s="287">
        <f t="shared" si="95"/>
        <v>35.862520660634765</v>
      </c>
      <c r="J290" s="287">
        <f t="shared" si="96"/>
        <v>6.2563782207734437</v>
      </c>
      <c r="K290" s="287">
        <f t="shared" si="97"/>
        <v>0.22059599999999999</v>
      </c>
      <c r="L290" s="287">
        <f t="shared" si="98"/>
        <v>179.99999997134009</v>
      </c>
      <c r="M290" s="287">
        <f t="shared" si="99"/>
        <v>883.73249999999996</v>
      </c>
      <c r="N290" s="287">
        <f t="shared" si="100"/>
        <v>531.96328359471579</v>
      </c>
      <c r="O290" s="287">
        <f t="shared" si="101"/>
        <v>93.845658874440872</v>
      </c>
      <c r="P290" s="288">
        <f t="shared" si="102"/>
        <v>3.3089399999999998</v>
      </c>
    </row>
    <row r="291" spans="1:16" s="102" customFormat="1" x14ac:dyDescent="0.3">
      <c r="A291" s="102">
        <f t="shared" si="103"/>
        <v>280</v>
      </c>
      <c r="B291" s="287">
        <f t="shared" si="88"/>
        <v>3216.0000000105883</v>
      </c>
      <c r="C291" s="287">
        <f t="shared" si="89"/>
        <v>8506.4</v>
      </c>
      <c r="D291" s="287">
        <f t="shared" si="90"/>
        <v>6329.1853399350694</v>
      </c>
      <c r="E291" s="287">
        <f t="shared" si="91"/>
        <v>1635.9808374014647</v>
      </c>
      <c r="F291" s="287">
        <f t="shared" si="92"/>
        <v>61.505253144000001</v>
      </c>
      <c r="G291" s="287">
        <f t="shared" si="93"/>
        <v>11.999999999117644</v>
      </c>
      <c r="H291" s="287">
        <f t="shared" si="94"/>
        <v>60.76</v>
      </c>
      <c r="I291" s="287">
        <f t="shared" si="95"/>
        <v>35.913954077876987</v>
      </c>
      <c r="J291" s="287">
        <f t="shared" si="96"/>
        <v>6.2563783143455272</v>
      </c>
      <c r="K291" s="287">
        <f t="shared" si="97"/>
        <v>0.22059599999999999</v>
      </c>
      <c r="L291" s="287">
        <f t="shared" si="98"/>
        <v>179.99999997363159</v>
      </c>
      <c r="M291" s="287">
        <f t="shared" si="99"/>
        <v>886.98749999999995</v>
      </c>
      <c r="N291" s="287">
        <f t="shared" si="100"/>
        <v>532.76923992663831</v>
      </c>
      <c r="O291" s="287">
        <f t="shared" si="101"/>
        <v>93.845661037293183</v>
      </c>
      <c r="P291" s="288">
        <f t="shared" si="102"/>
        <v>3.3089399999999998</v>
      </c>
    </row>
    <row r="292" spans="1:16" s="102" customFormat="1" x14ac:dyDescent="0.3">
      <c r="A292" s="102">
        <f t="shared" si="103"/>
        <v>281</v>
      </c>
      <c r="B292" s="287">
        <f t="shared" si="88"/>
        <v>3228.0000000097416</v>
      </c>
      <c r="C292" s="287">
        <f t="shared" si="89"/>
        <v>8567.2685000000001</v>
      </c>
      <c r="D292" s="287">
        <f t="shared" si="90"/>
        <v>6365.1248870599984</v>
      </c>
      <c r="E292" s="287">
        <f t="shared" si="91"/>
        <v>1642.2372157605346</v>
      </c>
      <c r="F292" s="287">
        <f t="shared" si="92"/>
        <v>61.725849143999994</v>
      </c>
      <c r="G292" s="287">
        <f t="shared" si="93"/>
        <v>11.999999999188194</v>
      </c>
      <c r="H292" s="287">
        <f t="shared" si="94"/>
        <v>60.976999999999997</v>
      </c>
      <c r="I292" s="287">
        <f t="shared" si="95"/>
        <v>35.965090878773864</v>
      </c>
      <c r="J292" s="287">
        <f t="shared" si="96"/>
        <v>6.2563784029965204</v>
      </c>
      <c r="K292" s="287">
        <f t="shared" si="97"/>
        <v>0.22059599999999999</v>
      </c>
      <c r="L292" s="287">
        <f t="shared" si="98"/>
        <v>179.99999997573991</v>
      </c>
      <c r="M292" s="287">
        <f t="shared" si="99"/>
        <v>890.24249999999995</v>
      </c>
      <c r="N292" s="287">
        <f t="shared" si="100"/>
        <v>533.57054831108837</v>
      </c>
      <c r="O292" s="287">
        <f t="shared" si="101"/>
        <v>93.845663086397977</v>
      </c>
      <c r="P292" s="288">
        <f t="shared" si="102"/>
        <v>3.3089399999999998</v>
      </c>
    </row>
    <row r="293" spans="1:16" s="102" customFormat="1" x14ac:dyDescent="0.3">
      <c r="A293" s="102">
        <f t="shared" si="103"/>
        <v>282</v>
      </c>
      <c r="B293" s="287">
        <f t="shared" si="88"/>
        <v>3240.0000000089626</v>
      </c>
      <c r="C293" s="287">
        <f t="shared" si="89"/>
        <v>8628.3540000000012</v>
      </c>
      <c r="D293" s="287">
        <f t="shared" si="90"/>
        <v>6401.1154233908073</v>
      </c>
      <c r="E293" s="287">
        <f t="shared" si="91"/>
        <v>1648.4935942059037</v>
      </c>
      <c r="F293" s="287">
        <f t="shared" si="92"/>
        <v>61.946445144000002</v>
      </c>
      <c r="G293" s="287">
        <f t="shared" si="93"/>
        <v>11.999999999253102</v>
      </c>
      <c r="H293" s="287">
        <f t="shared" si="94"/>
        <v>61.194000000000003</v>
      </c>
      <c r="I293" s="287">
        <f t="shared" si="95"/>
        <v>36.01593277391089</v>
      </c>
      <c r="J293" s="287">
        <f t="shared" si="96"/>
        <v>6.2563784869852306</v>
      </c>
      <c r="K293" s="287">
        <f t="shared" si="97"/>
        <v>0.22059599999999999</v>
      </c>
      <c r="L293" s="287">
        <f t="shared" si="98"/>
        <v>179.99999997767964</v>
      </c>
      <c r="M293" s="287">
        <f t="shared" si="99"/>
        <v>893.49749999999995</v>
      </c>
      <c r="N293" s="287">
        <f t="shared" si="100"/>
        <v>534.36723555276342</v>
      </c>
      <c r="O293" s="287">
        <f t="shared" si="101"/>
        <v>93.845665027737397</v>
      </c>
      <c r="P293" s="288">
        <f t="shared" si="102"/>
        <v>3.3089399999999998</v>
      </c>
    </row>
    <row r="294" spans="1:16" s="102" customFormat="1" x14ac:dyDescent="0.3">
      <c r="A294" s="102">
        <f t="shared" si="103"/>
        <v>283</v>
      </c>
      <c r="B294" s="287">
        <f t="shared" si="88"/>
        <v>3252.0000000082459</v>
      </c>
      <c r="C294" s="287">
        <f t="shared" si="89"/>
        <v>8689.656500000001</v>
      </c>
      <c r="D294" s="287">
        <f t="shared" si="90"/>
        <v>6437.156654872917</v>
      </c>
      <c r="E294" s="287">
        <f t="shared" si="91"/>
        <v>1654.749972733033</v>
      </c>
      <c r="F294" s="287">
        <f t="shared" si="92"/>
        <v>62.167041144000002</v>
      </c>
      <c r="G294" s="287">
        <f t="shared" si="93"/>
        <v>11.999999999312822</v>
      </c>
      <c r="H294" s="287">
        <f t="shared" si="94"/>
        <v>61.411000000000001</v>
      </c>
      <c r="I294" s="287">
        <f t="shared" si="95"/>
        <v>36.066481464008582</v>
      </c>
      <c r="J294" s="287">
        <f t="shared" si="96"/>
        <v>6.2563785665568528</v>
      </c>
      <c r="K294" s="287">
        <f t="shared" si="97"/>
        <v>0.22059599999999999</v>
      </c>
      <c r="L294" s="287">
        <f t="shared" si="98"/>
        <v>179.99999997946426</v>
      </c>
      <c r="M294" s="287">
        <f t="shared" si="99"/>
        <v>896.75249999999994</v>
      </c>
      <c r="N294" s="287">
        <f t="shared" si="100"/>
        <v>535.15932830177849</v>
      </c>
      <c r="O294" s="287">
        <f t="shared" si="101"/>
        <v>93.845666866978988</v>
      </c>
      <c r="P294" s="288">
        <f t="shared" si="102"/>
        <v>3.3089399999999998</v>
      </c>
    </row>
    <row r="295" spans="1:16" s="102" customFormat="1" x14ac:dyDescent="0.3">
      <c r="A295" s="102">
        <f t="shared" si="103"/>
        <v>284</v>
      </c>
      <c r="B295" s="287">
        <f t="shared" si="88"/>
        <v>3264.000000007587</v>
      </c>
      <c r="C295" s="287">
        <f t="shared" si="89"/>
        <v>8751.1759999999995</v>
      </c>
      <c r="D295" s="287">
        <f t="shared" si="90"/>
        <v>6473.2482891475556</v>
      </c>
      <c r="E295" s="287">
        <f t="shared" si="91"/>
        <v>1661.0063513376224</v>
      </c>
      <c r="F295" s="287">
        <f t="shared" si="92"/>
        <v>62.387637143999996</v>
      </c>
      <c r="G295" s="287">
        <f t="shared" si="93"/>
        <v>11.999999999367764</v>
      </c>
      <c r="H295" s="287">
        <f t="shared" si="94"/>
        <v>61.628</v>
      </c>
      <c r="I295" s="287">
        <f t="shared" si="95"/>
        <v>36.116738639979431</v>
      </c>
      <c r="J295" s="287">
        <f t="shared" si="96"/>
        <v>6.25637864194369</v>
      </c>
      <c r="K295" s="287">
        <f t="shared" si="97"/>
        <v>0.22059599999999999</v>
      </c>
      <c r="L295" s="287">
        <f t="shared" si="98"/>
        <v>179.99999998110621</v>
      </c>
      <c r="M295" s="287">
        <f t="shared" si="99"/>
        <v>900.00750000000005</v>
      </c>
      <c r="N295" s="287">
        <f t="shared" si="100"/>
        <v>535.94685305455721</v>
      </c>
      <c r="O295" s="287">
        <f t="shared" si="101"/>
        <v>93.845668609492222</v>
      </c>
      <c r="P295" s="288">
        <f t="shared" si="102"/>
        <v>3.3089399999999998</v>
      </c>
    </row>
    <row r="296" spans="1:16" s="102" customFormat="1" x14ac:dyDescent="0.3">
      <c r="A296" s="102">
        <f t="shared" si="103"/>
        <v>285</v>
      </c>
      <c r="B296" s="287">
        <f t="shared" si="88"/>
        <v>3276.0000000069804</v>
      </c>
      <c r="C296" s="287">
        <f t="shared" si="89"/>
        <v>8812.9125000000004</v>
      </c>
      <c r="D296" s="287">
        <f t="shared" si="90"/>
        <v>6509.3900355419937</v>
      </c>
      <c r="E296" s="287">
        <f t="shared" si="91"/>
        <v>1667.2627300155987</v>
      </c>
      <c r="F296" s="287">
        <f t="shared" si="92"/>
        <v>62.608233144000003</v>
      </c>
      <c r="G296" s="287">
        <f t="shared" si="93"/>
        <v>11.999999999418316</v>
      </c>
      <c r="H296" s="287">
        <f t="shared" si="94"/>
        <v>61.844999999999999</v>
      </c>
      <c r="I296" s="287">
        <f t="shared" si="95"/>
        <v>36.166705982984418</v>
      </c>
      <c r="J296" s="287">
        <f t="shared" si="96"/>
        <v>6.2563787133658249</v>
      </c>
      <c r="K296" s="287">
        <f t="shared" si="97"/>
        <v>0.22059599999999999</v>
      </c>
      <c r="L296" s="287">
        <f t="shared" si="98"/>
        <v>179.99999998261688</v>
      </c>
      <c r="M296" s="287">
        <f t="shared" si="99"/>
        <v>903.26250000000005</v>
      </c>
      <c r="N296" s="287">
        <f t="shared" si="100"/>
        <v>536.7298361547189</v>
      </c>
      <c r="O296" s="287">
        <f t="shared" si="101"/>
        <v>93.845670260364173</v>
      </c>
      <c r="P296" s="288">
        <f t="shared" si="102"/>
        <v>3.3089399999999998</v>
      </c>
    </row>
    <row r="297" spans="1:16" s="102" customFormat="1" x14ac:dyDescent="0.3">
      <c r="A297" s="102">
        <f t="shared" si="103"/>
        <v>286</v>
      </c>
      <c r="B297" s="287">
        <f t="shared" si="88"/>
        <v>3288.0000000064219</v>
      </c>
      <c r="C297" s="287">
        <f t="shared" si="89"/>
        <v>8874.866</v>
      </c>
      <c r="D297" s="287">
        <f t="shared" si="90"/>
        <v>6545.5816050597996</v>
      </c>
      <c r="E297" s="287">
        <f t="shared" si="91"/>
        <v>1673.5191087631024</v>
      </c>
      <c r="F297" s="287">
        <f t="shared" si="92"/>
        <v>62.828829143999997</v>
      </c>
      <c r="G297" s="287">
        <f t="shared" si="93"/>
        <v>11.999999999464825</v>
      </c>
      <c r="H297" s="287">
        <f t="shared" si="94"/>
        <v>62.061999999999998</v>
      </c>
      <c r="I297" s="287">
        <f t="shared" si="95"/>
        <v>36.216385164489303</v>
      </c>
      <c r="J297" s="287">
        <f t="shared" si="96"/>
        <v>6.256378781031767</v>
      </c>
      <c r="K297" s="287">
        <f t="shared" si="97"/>
        <v>0.22059599999999999</v>
      </c>
      <c r="L297" s="287">
        <f t="shared" si="98"/>
        <v>179.99999998400676</v>
      </c>
      <c r="M297" s="287">
        <f t="shared" si="99"/>
        <v>906.51750000000004</v>
      </c>
      <c r="N297" s="287">
        <f t="shared" si="100"/>
        <v>537.5083037939587</v>
      </c>
      <c r="O297" s="287">
        <f t="shared" si="101"/>
        <v>93.845671824414381</v>
      </c>
      <c r="P297" s="288">
        <f t="shared" si="102"/>
        <v>3.3089399999999998</v>
      </c>
    </row>
    <row r="298" spans="1:16" s="102" customFormat="1" x14ac:dyDescent="0.3">
      <c r="A298" s="102">
        <f t="shared" si="103"/>
        <v>287</v>
      </c>
      <c r="B298" s="287">
        <f t="shared" si="88"/>
        <v>3300.0000000059085</v>
      </c>
      <c r="C298" s="287">
        <f t="shared" si="89"/>
        <v>8937.0365000000002</v>
      </c>
      <c r="D298" s="287">
        <f t="shared" si="90"/>
        <v>6581.8227103711879</v>
      </c>
      <c r="E298" s="287">
        <f t="shared" si="91"/>
        <v>1679.7754875764765</v>
      </c>
      <c r="F298" s="287">
        <f t="shared" si="92"/>
        <v>63.049425144000004</v>
      </c>
      <c r="G298" s="287">
        <f t="shared" si="93"/>
        <v>11.999999999507615</v>
      </c>
      <c r="H298" s="287">
        <f t="shared" si="94"/>
        <v>62.278999999999996</v>
      </c>
      <c r="I298" s="287">
        <f t="shared" si="95"/>
        <v>36.265777846320489</v>
      </c>
      <c r="J298" s="287">
        <f t="shared" si="96"/>
        <v>6.256378845139059</v>
      </c>
      <c r="K298" s="287">
        <f t="shared" si="97"/>
        <v>0.22059599999999999</v>
      </c>
      <c r="L298" s="287">
        <f t="shared" si="98"/>
        <v>179.99999998528551</v>
      </c>
      <c r="M298" s="287">
        <f t="shared" si="99"/>
        <v>909.77250000000004</v>
      </c>
      <c r="N298" s="287">
        <f t="shared" si="100"/>
        <v>538.28228201292507</v>
      </c>
      <c r="O298" s="287">
        <f t="shared" si="101"/>
        <v>93.845673306208965</v>
      </c>
      <c r="P298" s="288">
        <f t="shared" si="102"/>
        <v>3.3089399999999998</v>
      </c>
    </row>
    <row r="299" spans="1:16" s="102" customFormat="1" x14ac:dyDescent="0.3">
      <c r="A299" s="102">
        <f t="shared" si="103"/>
        <v>288</v>
      </c>
      <c r="B299" s="287">
        <f t="shared" si="88"/>
        <v>3312.000000005436</v>
      </c>
      <c r="C299" s="287">
        <f t="shared" si="89"/>
        <v>8999.4240000000009</v>
      </c>
      <c r="D299" s="287">
        <f t="shared" si="90"/>
        <v>6618.1130658034026</v>
      </c>
      <c r="E299" s="287">
        <f t="shared" si="91"/>
        <v>1686.0318664522565</v>
      </c>
      <c r="F299" s="287">
        <f t="shared" si="92"/>
        <v>63.270021143999998</v>
      </c>
      <c r="G299" s="287">
        <f t="shared" si="93"/>
        <v>11.999999999546983</v>
      </c>
      <c r="H299" s="287">
        <f t="shared" si="94"/>
        <v>62.496000000000002</v>
      </c>
      <c r="I299" s="287">
        <f t="shared" si="95"/>
        <v>36.314885680720636</v>
      </c>
      <c r="J299" s="287">
        <f t="shared" si="96"/>
        <v>6.2563789058748567</v>
      </c>
      <c r="K299" s="287">
        <f t="shared" si="97"/>
        <v>0.22059599999999999</v>
      </c>
      <c r="L299" s="287">
        <f t="shared" si="98"/>
        <v>179.999999986462</v>
      </c>
      <c r="M299" s="287">
        <f t="shared" si="99"/>
        <v>913.02750000000003</v>
      </c>
      <c r="N299" s="287">
        <f t="shared" si="100"/>
        <v>539.05179670208918</v>
      </c>
      <c r="O299" s="287">
        <f t="shared" si="101"/>
        <v>93.845674710073823</v>
      </c>
      <c r="P299" s="288">
        <f t="shared" si="102"/>
        <v>3.3089399999999998</v>
      </c>
    </row>
    <row r="300" spans="1:16" s="102" customFormat="1" x14ac:dyDescent="0.3">
      <c r="A300" s="102">
        <f t="shared" si="103"/>
        <v>289</v>
      </c>
      <c r="B300" s="287">
        <f t="shared" si="88"/>
        <v>3324.0000000050013</v>
      </c>
      <c r="C300" s="287">
        <f t="shared" si="89"/>
        <v>9062.0285000000003</v>
      </c>
      <c r="D300" s="287">
        <f t="shared" si="90"/>
        <v>6654.4523873311618</v>
      </c>
      <c r="E300" s="287">
        <f t="shared" si="91"/>
        <v>1692.2882453871614</v>
      </c>
      <c r="F300" s="287">
        <f t="shared" si="92"/>
        <v>63.490617143999998</v>
      </c>
      <c r="G300" s="287">
        <f t="shared" si="93"/>
        <v>11.999999999583206</v>
      </c>
      <c r="H300" s="287">
        <f t="shared" si="94"/>
        <v>62.713000000000001</v>
      </c>
      <c r="I300" s="287">
        <f t="shared" si="95"/>
        <v>36.363710310403924</v>
      </c>
      <c r="J300" s="287">
        <f t="shared" si="96"/>
        <v>6.2563789634164717</v>
      </c>
      <c r="K300" s="287">
        <f t="shared" si="97"/>
        <v>0.22059599999999999</v>
      </c>
      <c r="L300" s="287">
        <f t="shared" si="98"/>
        <v>179.99999998754444</v>
      </c>
      <c r="M300" s="287">
        <f t="shared" si="99"/>
        <v>916.28250000000003</v>
      </c>
      <c r="N300" s="287">
        <f t="shared" si="100"/>
        <v>539.81687360261287</v>
      </c>
      <c r="O300" s="287">
        <f t="shared" si="101"/>
        <v>93.845676040107406</v>
      </c>
      <c r="P300" s="288">
        <f t="shared" si="102"/>
        <v>3.3089399999999998</v>
      </c>
    </row>
    <row r="301" spans="1:16" s="102" customFormat="1" x14ac:dyDescent="0.3">
      <c r="A301" s="102">
        <f t="shared" si="103"/>
        <v>290</v>
      </c>
      <c r="B301" s="287">
        <f t="shared" si="88"/>
        <v>3336.0000000046016</v>
      </c>
      <c r="C301" s="287">
        <f t="shared" si="89"/>
        <v>9124.85</v>
      </c>
      <c r="D301" s="287">
        <f t="shared" si="90"/>
        <v>6690.8403925671564</v>
      </c>
      <c r="E301" s="287">
        <f t="shared" si="91"/>
        <v>1698.5446243780809</v>
      </c>
      <c r="F301" s="287">
        <f t="shared" si="92"/>
        <v>63.711213144000006</v>
      </c>
      <c r="G301" s="287">
        <f t="shared" si="93"/>
        <v>11.999999999616531</v>
      </c>
      <c r="H301" s="287">
        <f t="shared" si="94"/>
        <v>62.93</v>
      </c>
      <c r="I301" s="287">
        <f t="shared" si="95"/>
        <v>36.412253368611012</v>
      </c>
      <c r="J301" s="287">
        <f t="shared" si="96"/>
        <v>6.2563790179318906</v>
      </c>
      <c r="K301" s="287">
        <f t="shared" si="97"/>
        <v>0.22059599999999999</v>
      </c>
      <c r="L301" s="287">
        <f t="shared" si="98"/>
        <v>179.99999998854034</v>
      </c>
      <c r="M301" s="287">
        <f t="shared" si="99"/>
        <v>919.53750000000002</v>
      </c>
      <c r="N301" s="287">
        <f t="shared" si="100"/>
        <v>540.57753830720844</v>
      </c>
      <c r="O301" s="287">
        <f t="shared" si="101"/>
        <v>93.845677300192634</v>
      </c>
      <c r="P301" s="288">
        <f t="shared" si="102"/>
        <v>3.3089399999999998</v>
      </c>
    </row>
    <row r="302" spans="1:16" s="102" customFormat="1" x14ac:dyDescent="0.3">
      <c r="A302" s="102">
        <f t="shared" si="103"/>
        <v>291</v>
      </c>
      <c r="B302" s="287">
        <f t="shared" si="88"/>
        <v>3348.0000000042337</v>
      </c>
      <c r="C302" s="287">
        <f t="shared" si="89"/>
        <v>9187.8884999999991</v>
      </c>
      <c r="D302" s="287">
        <f t="shared" si="90"/>
        <v>6727.2768007526038</v>
      </c>
      <c r="E302" s="287">
        <f t="shared" si="91"/>
        <v>1704.8010034220697</v>
      </c>
      <c r="F302" s="287">
        <f t="shared" si="92"/>
        <v>63.931809143999999</v>
      </c>
      <c r="G302" s="287">
        <f t="shared" si="93"/>
        <v>11.999999999647191</v>
      </c>
      <c r="H302" s="287">
        <f t="shared" si="94"/>
        <v>63.146999999999998</v>
      </c>
      <c r="I302" s="287">
        <f t="shared" si="95"/>
        <v>36.460516479163658</v>
      </c>
      <c r="J302" s="287">
        <f t="shared" si="96"/>
        <v>6.256379069580265</v>
      </c>
      <c r="K302" s="287">
        <f t="shared" si="97"/>
        <v>0.22059599999999999</v>
      </c>
      <c r="L302" s="287">
        <f t="shared" si="98"/>
        <v>179.9999999894566</v>
      </c>
      <c r="M302" s="287">
        <f t="shared" si="99"/>
        <v>922.79250000000002</v>
      </c>
      <c r="N302" s="287">
        <f t="shared" si="100"/>
        <v>541.33381626099481</v>
      </c>
      <c r="O302" s="287">
        <f t="shared" si="101"/>
        <v>93.845678494008141</v>
      </c>
      <c r="P302" s="288">
        <f t="shared" si="102"/>
        <v>3.3089399999999998</v>
      </c>
    </row>
    <row r="303" spans="1:16" s="102" customFormat="1" x14ac:dyDescent="0.3">
      <c r="A303" s="102">
        <f t="shared" si="103"/>
        <v>292</v>
      </c>
      <c r="B303" s="287">
        <f t="shared" si="88"/>
        <v>3360.0000000038954</v>
      </c>
      <c r="C303" s="287">
        <f t="shared" si="89"/>
        <v>9251.1440000000002</v>
      </c>
      <c r="D303" s="287">
        <f t="shared" si="90"/>
        <v>6763.7613327478557</v>
      </c>
      <c r="E303" s="287">
        <f t="shared" si="91"/>
        <v>1711.057382516336</v>
      </c>
      <c r="F303" s="287">
        <f t="shared" si="92"/>
        <v>64.152405143999999</v>
      </c>
      <c r="G303" s="287">
        <f t="shared" si="93"/>
        <v>11.999999999675399</v>
      </c>
      <c r="H303" s="287">
        <f t="shared" si="94"/>
        <v>63.363999999999997</v>
      </c>
      <c r="I303" s="287">
        <f t="shared" si="95"/>
        <v>36.508501256519061</v>
      </c>
      <c r="J303" s="287">
        <f t="shared" si="96"/>
        <v>6.2563791185123767</v>
      </c>
      <c r="K303" s="287">
        <f t="shared" si="97"/>
        <v>0.22059599999999999</v>
      </c>
      <c r="L303" s="287">
        <f t="shared" si="98"/>
        <v>179.99999999029961</v>
      </c>
      <c r="M303" s="287">
        <f t="shared" si="99"/>
        <v>926.04750000000001</v>
      </c>
      <c r="N303" s="287">
        <f t="shared" si="100"/>
        <v>542.08573276234938</v>
      </c>
      <c r="O303" s="287">
        <f t="shared" si="101"/>
        <v>93.845679625039196</v>
      </c>
      <c r="P303" s="288">
        <f t="shared" si="102"/>
        <v>3.3089399999999998</v>
      </c>
    </row>
    <row r="304" spans="1:16" s="102" customFormat="1" x14ac:dyDescent="0.3">
      <c r="A304" s="102">
        <f t="shared" si="103"/>
        <v>293</v>
      </c>
      <c r="B304" s="287">
        <f t="shared" si="88"/>
        <v>3372.0000000035839</v>
      </c>
      <c r="C304" s="287">
        <f t="shared" si="89"/>
        <v>9314.6165000000001</v>
      </c>
      <c r="D304" s="287">
        <f t="shared" si="90"/>
        <v>6800.2937110230614</v>
      </c>
      <c r="E304" s="287">
        <f t="shared" si="91"/>
        <v>1717.3137616582364</v>
      </c>
      <c r="F304" s="287">
        <f t="shared" si="92"/>
        <v>64.373001144</v>
      </c>
      <c r="G304" s="287">
        <f t="shared" si="93"/>
        <v>11.999999999701354</v>
      </c>
      <c r="H304" s="287">
        <f t="shared" si="94"/>
        <v>63.581000000000003</v>
      </c>
      <c r="I304" s="287">
        <f t="shared" si="95"/>
        <v>36.556209305823828</v>
      </c>
      <c r="J304" s="287">
        <f t="shared" si="96"/>
        <v>6.2563791648710794</v>
      </c>
      <c r="K304" s="287">
        <f t="shared" si="97"/>
        <v>0.22059599999999999</v>
      </c>
      <c r="L304" s="287">
        <f t="shared" si="98"/>
        <v>179.99999999107521</v>
      </c>
      <c r="M304" s="287">
        <f t="shared" si="99"/>
        <v>929.30250000000001</v>
      </c>
      <c r="N304" s="287">
        <f t="shared" si="100"/>
        <v>542.83331296375377</v>
      </c>
      <c r="O304" s="287">
        <f t="shared" si="101"/>
        <v>93.845680696587692</v>
      </c>
      <c r="P304" s="288">
        <f t="shared" si="102"/>
        <v>3.3089399999999998</v>
      </c>
    </row>
    <row r="305" spans="1:16" s="102" customFormat="1" x14ac:dyDescent="0.3">
      <c r="A305" s="102">
        <f t="shared" si="103"/>
        <v>294</v>
      </c>
      <c r="B305" s="287">
        <f t="shared" si="88"/>
        <v>3384.0000000032974</v>
      </c>
      <c r="C305" s="287">
        <f t="shared" si="89"/>
        <v>9378.3060000000005</v>
      </c>
      <c r="D305" s="287">
        <f t="shared" si="90"/>
        <v>6836.8736596488843</v>
      </c>
      <c r="E305" s="287">
        <f t="shared" si="91"/>
        <v>1723.5701408452658</v>
      </c>
      <c r="F305" s="287">
        <f t="shared" si="92"/>
        <v>64.593597144</v>
      </c>
      <c r="G305" s="287">
        <f t="shared" si="93"/>
        <v>11.999999999725231</v>
      </c>
      <c r="H305" s="287">
        <f t="shared" si="94"/>
        <v>63.798000000000002</v>
      </c>
      <c r="I305" s="287">
        <f t="shared" si="95"/>
        <v>36.6036422229677</v>
      </c>
      <c r="J305" s="287">
        <f t="shared" si="96"/>
        <v>6.2563792087917101</v>
      </c>
      <c r="K305" s="287">
        <f t="shared" si="97"/>
        <v>0.22059599999999999</v>
      </c>
      <c r="L305" s="287">
        <f t="shared" si="98"/>
        <v>179.9999999917888</v>
      </c>
      <c r="M305" s="287">
        <f t="shared" si="99"/>
        <v>932.5575</v>
      </c>
      <c r="N305" s="287">
        <f t="shared" si="100"/>
        <v>543.57658187263507</v>
      </c>
      <c r="O305" s="287">
        <f t="shared" si="101"/>
        <v>93.845681711781893</v>
      </c>
      <c r="P305" s="288">
        <f t="shared" si="102"/>
        <v>3.3089399999999998</v>
      </c>
    </row>
    <row r="306" spans="1:16" s="102" customFormat="1" x14ac:dyDescent="0.3">
      <c r="A306" s="102">
        <f t="shared" si="103"/>
        <v>295</v>
      </c>
      <c r="B306" s="287">
        <f t="shared" si="88"/>
        <v>3396.0000000030336</v>
      </c>
      <c r="C306" s="287">
        <f t="shared" si="89"/>
        <v>9442.2124999999996</v>
      </c>
      <c r="D306" s="287">
        <f t="shared" si="90"/>
        <v>6873.5009042872716</v>
      </c>
      <c r="E306" s="287">
        <f t="shared" si="91"/>
        <v>1729.8265200750502</v>
      </c>
      <c r="F306" s="287">
        <f t="shared" si="92"/>
        <v>64.814193144000001</v>
      </c>
      <c r="G306" s="287">
        <f t="shared" si="93"/>
        <v>11.999999999747201</v>
      </c>
      <c r="H306" s="287">
        <f t="shared" si="94"/>
        <v>64.015000000000001</v>
      </c>
      <c r="I306" s="287">
        <f t="shared" si="95"/>
        <v>36.650801594636945</v>
      </c>
      <c r="J306" s="287">
        <f t="shared" si="96"/>
        <v>6.2563792504024915</v>
      </c>
      <c r="K306" s="287">
        <f t="shared" si="97"/>
        <v>0.22059599999999999</v>
      </c>
      <c r="L306" s="287">
        <f t="shared" si="98"/>
        <v>179.99999999244534</v>
      </c>
      <c r="M306" s="287">
        <f t="shared" si="99"/>
        <v>935.8125</v>
      </c>
      <c r="N306" s="287">
        <f t="shared" si="100"/>
        <v>544.31556435220318</v>
      </c>
      <c r="O306" s="287">
        <f t="shared" si="101"/>
        <v>93.8456826735856</v>
      </c>
      <c r="P306" s="288">
        <f t="shared" si="102"/>
        <v>3.3089399999999998</v>
      </c>
    </row>
    <row r="307" spans="1:16" s="102" customFormat="1" x14ac:dyDescent="0.3">
      <c r="A307" s="102">
        <f t="shared" si="103"/>
        <v>296</v>
      </c>
      <c r="B307" s="287">
        <f t="shared" si="88"/>
        <v>3408.0000000027912</v>
      </c>
      <c r="C307" s="287">
        <f t="shared" si="89"/>
        <v>9506.3359999999993</v>
      </c>
      <c r="D307" s="287">
        <f t="shared" si="90"/>
        <v>6910.1751721822793</v>
      </c>
      <c r="E307" s="287">
        <f t="shared" si="91"/>
        <v>1736.082899345341</v>
      </c>
      <c r="F307" s="287">
        <f t="shared" si="92"/>
        <v>65.034789144000001</v>
      </c>
      <c r="G307" s="287">
        <f t="shared" si="93"/>
        <v>11.999999999767414</v>
      </c>
      <c r="H307" s="287">
        <f t="shared" si="94"/>
        <v>64.231999999999999</v>
      </c>
      <c r="I307" s="287">
        <f t="shared" si="95"/>
        <v>36.697688998367383</v>
      </c>
      <c r="J307" s="287">
        <f t="shared" si="96"/>
        <v>6.2563792898249027</v>
      </c>
      <c r="K307" s="287">
        <f t="shared" si="97"/>
        <v>0.22059599999999999</v>
      </c>
      <c r="L307" s="287">
        <f t="shared" si="98"/>
        <v>179.99999999304936</v>
      </c>
      <c r="M307" s="287">
        <f t="shared" si="99"/>
        <v>939.0675</v>
      </c>
      <c r="N307" s="287">
        <f t="shared" si="100"/>
        <v>545.05028512228137</v>
      </c>
      <c r="O307" s="287">
        <f t="shared" si="101"/>
        <v>93.84568358480665</v>
      </c>
      <c r="P307" s="288">
        <f t="shared" si="102"/>
        <v>3.3089399999999998</v>
      </c>
    </row>
    <row r="308" spans="1:16" s="102" customFormat="1" x14ac:dyDescent="0.3">
      <c r="A308" s="102">
        <f t="shared" si="103"/>
        <v>297</v>
      </c>
      <c r="B308" s="287">
        <f t="shared" si="88"/>
        <v>3420.000000002568</v>
      </c>
      <c r="C308" s="287">
        <f t="shared" si="89"/>
        <v>9570.6764999999996</v>
      </c>
      <c r="D308" s="287">
        <f t="shared" si="90"/>
        <v>6946.8961921509408</v>
      </c>
      <c r="E308" s="287">
        <f t="shared" si="91"/>
        <v>1742.3392786540089</v>
      </c>
      <c r="F308" s="287">
        <f t="shared" si="92"/>
        <v>65.255385144000002</v>
      </c>
      <c r="G308" s="287">
        <f t="shared" si="93"/>
        <v>11.999999999786009</v>
      </c>
      <c r="H308" s="287">
        <f t="shared" si="94"/>
        <v>64.448999999999998</v>
      </c>
      <c r="I308" s="287">
        <f t="shared" si="95"/>
        <v>36.74430600259722</v>
      </c>
      <c r="J308" s="287">
        <f t="shared" si="96"/>
        <v>6.2563793271740327</v>
      </c>
      <c r="K308" s="287">
        <f t="shared" si="97"/>
        <v>0.22059599999999999</v>
      </c>
      <c r="L308" s="287">
        <f t="shared" si="98"/>
        <v>179.99999999360512</v>
      </c>
      <c r="M308" s="287">
        <f t="shared" si="99"/>
        <v>942.32249999999999</v>
      </c>
      <c r="N308" s="287">
        <f t="shared" si="100"/>
        <v>545.78076876013415</v>
      </c>
      <c r="O308" s="287">
        <f t="shared" si="101"/>
        <v>93.845684448105274</v>
      </c>
      <c r="P308" s="288">
        <f t="shared" si="102"/>
        <v>3.3089399999999998</v>
      </c>
    </row>
    <row r="309" spans="1:16" s="102" customFormat="1" x14ac:dyDescent="0.3">
      <c r="A309" s="102">
        <f t="shared" si="103"/>
        <v>298</v>
      </c>
      <c r="B309" s="287">
        <f t="shared" si="88"/>
        <v>3432.0000000023624</v>
      </c>
      <c r="C309" s="287">
        <f t="shared" si="89"/>
        <v>9635.2340000000004</v>
      </c>
      <c r="D309" s="287">
        <f t="shared" si="90"/>
        <v>6983.6636945742057</v>
      </c>
      <c r="E309" s="287">
        <f t="shared" si="91"/>
        <v>1748.5956579990345</v>
      </c>
      <c r="F309" s="287">
        <f t="shared" si="92"/>
        <v>65.475981144000002</v>
      </c>
      <c r="G309" s="287">
        <f t="shared" si="93"/>
        <v>11.999999999803119</v>
      </c>
      <c r="H309" s="287">
        <f t="shared" si="94"/>
        <v>64.665999999999997</v>
      </c>
      <c r="I309" s="287">
        <f t="shared" si="95"/>
        <v>36.790654166719463</v>
      </c>
      <c r="J309" s="287">
        <f t="shared" si="96"/>
        <v>6.2563793625589188</v>
      </c>
      <c r="K309" s="287">
        <f t="shared" si="97"/>
        <v>0.22059599999999999</v>
      </c>
      <c r="L309" s="287">
        <f t="shared" si="98"/>
        <v>179.99999999411642</v>
      </c>
      <c r="M309" s="287">
        <f t="shared" si="99"/>
        <v>945.57749999999999</v>
      </c>
      <c r="N309" s="287">
        <f t="shared" si="100"/>
        <v>546.50703970128882</v>
      </c>
      <c r="O309" s="287">
        <f t="shared" si="101"/>
        <v>93.845685266001794</v>
      </c>
      <c r="P309" s="288">
        <f t="shared" si="102"/>
        <v>3.3089399999999998</v>
      </c>
    </row>
    <row r="310" spans="1:16" s="102" customFormat="1" x14ac:dyDescent="0.3">
      <c r="A310" s="102">
        <f t="shared" si="103"/>
        <v>299</v>
      </c>
      <c r="B310" s="287">
        <f t="shared" si="88"/>
        <v>3444.0000000021737</v>
      </c>
      <c r="C310" s="287">
        <f t="shared" si="89"/>
        <v>9700.0084999999999</v>
      </c>
      <c r="D310" s="287">
        <f t="shared" si="90"/>
        <v>7020.4774113879093</v>
      </c>
      <c r="E310" s="287">
        <f t="shared" si="91"/>
        <v>1754.8520373785066</v>
      </c>
      <c r="F310" s="287">
        <f t="shared" si="92"/>
        <v>65.696577144000003</v>
      </c>
      <c r="G310" s="287">
        <f t="shared" si="93"/>
        <v>11.999999999818861</v>
      </c>
      <c r="H310" s="287">
        <f t="shared" si="94"/>
        <v>64.882999999999996</v>
      </c>
      <c r="I310" s="287">
        <f t="shared" si="95"/>
        <v>36.836735041134126</v>
      </c>
      <c r="J310" s="287">
        <f t="shared" si="96"/>
        <v>6.2563793960828615</v>
      </c>
      <c r="K310" s="287">
        <f t="shared" si="97"/>
        <v>0.22059599999999999</v>
      </c>
      <c r="L310" s="287">
        <f t="shared" si="98"/>
        <v>179.99999999458683</v>
      </c>
      <c r="M310" s="287">
        <f t="shared" si="99"/>
        <v>948.83249999999998</v>
      </c>
      <c r="N310" s="287">
        <f t="shared" si="100"/>
        <v>547.22912224035326</v>
      </c>
      <c r="O310" s="287">
        <f t="shared" si="101"/>
        <v>93.845686040883947</v>
      </c>
      <c r="P310" s="288">
        <f t="shared" si="102"/>
        <v>3.3089399999999998</v>
      </c>
    </row>
    <row r="311" spans="1:16" s="102" customFormat="1" x14ac:dyDescent="0.3">
      <c r="A311" s="102">
        <f t="shared" si="103"/>
        <v>300</v>
      </c>
      <c r="B311" s="287">
        <f t="shared" si="88"/>
        <v>3456.000000002</v>
      </c>
      <c r="C311" s="287">
        <f t="shared" si="89"/>
        <v>9765</v>
      </c>
      <c r="D311" s="287">
        <f t="shared" si="90"/>
        <v>7057.3370760738217</v>
      </c>
      <c r="E311" s="287">
        <f t="shared" si="91"/>
        <v>1761.1084167906129</v>
      </c>
      <c r="F311" s="287">
        <f t="shared" si="92"/>
        <v>65.917173143999989</v>
      </c>
      <c r="G311" s="287">
        <f t="shared" si="93"/>
        <v>11.999999999833346</v>
      </c>
      <c r="H311" s="287">
        <f t="shared" si="94"/>
        <v>65.099999999999994</v>
      </c>
      <c r="I311" s="287">
        <f t="shared" si="95"/>
        <v>36.882550167300046</v>
      </c>
      <c r="J311" s="287">
        <f t="shared" si="96"/>
        <v>6.2563794278437319</v>
      </c>
      <c r="K311" s="287">
        <f t="shared" si="97"/>
        <v>0.22059599999999999</v>
      </c>
      <c r="L311" s="287">
        <f t="shared" si="98"/>
        <v>179.99999999501966</v>
      </c>
      <c r="M311" s="287">
        <f t="shared" si="99"/>
        <v>952.08749999999998</v>
      </c>
      <c r="N311" s="287">
        <f t="shared" si="100"/>
        <v>547.94704053182829</v>
      </c>
      <c r="O311" s="287">
        <f t="shared" si="101"/>
        <v>93.845686775013945</v>
      </c>
      <c r="P311" s="288">
        <f t="shared" si="102"/>
        <v>3.3089399999999998</v>
      </c>
    </row>
    <row r="312" spans="1:16" s="102" customFormat="1" x14ac:dyDescent="0.3">
      <c r="B312" s="287"/>
      <c r="C312" s="287"/>
      <c r="D312" s="287"/>
      <c r="E312" s="287"/>
      <c r="F312" s="287"/>
      <c r="G312" s="287"/>
      <c r="H312" s="287"/>
      <c r="I312" s="287"/>
      <c r="J312" s="287"/>
      <c r="K312" s="287"/>
      <c r="L312" s="287"/>
      <c r="M312" s="287"/>
      <c r="N312" s="287"/>
      <c r="O312" s="287"/>
      <c r="P312" s="287"/>
    </row>
    <row r="313" spans="1:16" s="102" customFormat="1" x14ac:dyDescent="0.3">
      <c r="B313" s="287"/>
      <c r="C313" s="287"/>
      <c r="D313" s="287"/>
      <c r="E313" s="287"/>
      <c r="F313" s="287"/>
      <c r="G313" s="287"/>
      <c r="H313" s="287"/>
      <c r="I313" s="287"/>
      <c r="J313" s="287"/>
      <c r="K313" s="287"/>
      <c r="L313" s="287"/>
      <c r="M313" s="287"/>
      <c r="N313" s="287"/>
      <c r="O313" s="287"/>
      <c r="P313" s="287"/>
    </row>
  </sheetData>
  <sheetProtection password="B467" sheet="1" objects="1" scenarios="1"/>
  <mergeCells count="3">
    <mergeCell ref="C1:F1"/>
    <mergeCell ref="H1:K1"/>
    <mergeCell ref="M1:P1"/>
  </mergeCells>
  <phoneticPr fontId="18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3:G6"/>
  <sheetViews>
    <sheetView workbookViewId="0"/>
  </sheetViews>
  <sheetFormatPr defaultColWidth="9" defaultRowHeight="13.8" x14ac:dyDescent="0.3"/>
  <cols>
    <col min="1" max="1" width="3.08984375" style="297" customWidth="1"/>
    <col min="2" max="2" width="18.453125" style="297" customWidth="1"/>
    <col min="3" max="4" width="18" style="297" customWidth="1"/>
    <col min="5" max="5" width="15.08984375" style="297" customWidth="1"/>
    <col min="6" max="6" width="8.984375E-2" style="297" hidden="1" customWidth="1"/>
    <col min="7" max="7" width="10.6328125" style="297" customWidth="1"/>
    <col min="8" max="8" width="4.7265625" style="297" customWidth="1"/>
    <col min="9" max="9" width="12.453125" style="297" customWidth="1"/>
    <col min="10" max="10" width="11.453125" style="297" customWidth="1"/>
    <col min="11" max="11" width="13.6328125" style="297" customWidth="1"/>
    <col min="12" max="16384" width="9" style="297"/>
  </cols>
  <sheetData>
    <row r="3" spans="1:7" ht="14.4" thickBot="1" x14ac:dyDescent="0.35">
      <c r="B3" s="339"/>
    </row>
    <row r="4" spans="1:7" ht="48" customHeight="1" thickBot="1" x14ac:dyDescent="0.35">
      <c r="A4" s="339"/>
      <c r="B4" s="431" t="s">
        <v>62</v>
      </c>
      <c r="C4" s="41" t="s">
        <v>87</v>
      </c>
      <c r="D4" s="41" t="s">
        <v>86</v>
      </c>
      <c r="E4" s="433" t="s">
        <v>84</v>
      </c>
      <c r="G4" s="278" t="s">
        <v>85</v>
      </c>
    </row>
    <row r="5" spans="1:7" ht="48" customHeight="1" x14ac:dyDescent="0.3">
      <c r="B5" s="434" t="s">
        <v>116</v>
      </c>
      <c r="C5" s="527">
        <f>IF('Control Panel'!E7="2.1% (default)",0.021,'Control Panel'!E7)</f>
        <v>0.02</v>
      </c>
      <c r="D5" s="527">
        <f>IF('Control Panel'!F7="0.3% (default)",0.003,'Control Panel'!F7)</f>
        <v>3.0000000000000001E-3</v>
      </c>
      <c r="E5" s="528">
        <f>IF('Control Panel'!G7="0.6% (default)",0.006,'Control Panel'!G7)</f>
        <v>5.0000000000000001E-3</v>
      </c>
      <c r="G5" s="531">
        <f>C5+D5+E5</f>
        <v>2.8000000000000001E-2</v>
      </c>
    </row>
    <row r="6" spans="1:7" ht="48" customHeight="1" thickBot="1" x14ac:dyDescent="0.35">
      <c r="B6" s="435" t="s">
        <v>132</v>
      </c>
      <c r="C6" s="529">
        <f>IF('Control Panel'!E8="2.1% (default)",0.021,'Control Panel'!E8)</f>
        <v>0.02</v>
      </c>
      <c r="D6" s="529">
        <f>IF('Control Panel'!F8="0.3% (default)",0.003,'Control Panel'!F8)</f>
        <v>3.0000000000000001E-3</v>
      </c>
      <c r="E6" s="530">
        <f>IF('Control Panel'!G8="0.6% (default)",0.006,'Control Panel'!G8)</f>
        <v>5.0000000000000001E-3</v>
      </c>
      <c r="G6" s="532">
        <f>C6+D6+E6</f>
        <v>2.8000000000000001E-2</v>
      </c>
    </row>
  </sheetData>
  <sheetProtection password="B467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Q173"/>
  <sheetViews>
    <sheetView zoomScaleNormal="100" workbookViewId="0"/>
  </sheetViews>
  <sheetFormatPr defaultColWidth="9" defaultRowHeight="13.8" x14ac:dyDescent="0.3"/>
  <cols>
    <col min="1" max="1" width="24" style="472" customWidth="1"/>
    <col min="2" max="2" width="5.453125" style="472" bestFit="1" customWidth="1"/>
    <col min="3" max="3" width="18.36328125" style="472" customWidth="1"/>
    <col min="4" max="4" width="7.26953125" style="472" bestFit="1" customWidth="1"/>
    <col min="5" max="5" width="2.90625" style="472" customWidth="1"/>
    <col min="6" max="6" width="23.90625" style="472" customWidth="1"/>
    <col min="7" max="7" width="5.7265625" style="472" bestFit="1" customWidth="1"/>
    <col min="8" max="8" width="26.26953125" style="472" customWidth="1"/>
    <col min="9" max="9" width="6" style="472" bestFit="1" customWidth="1"/>
    <col min="10" max="10" width="3" style="472" customWidth="1"/>
    <col min="11" max="11" width="29.90625" style="472" customWidth="1"/>
    <col min="12" max="12" width="9.36328125" style="472" bestFit="1" customWidth="1"/>
    <col min="13" max="13" width="14.453125" style="472" bestFit="1" customWidth="1"/>
    <col min="14" max="14" width="2.7265625" style="472" customWidth="1"/>
    <col min="15" max="15" width="10.36328125" style="472" customWidth="1"/>
    <col min="16" max="16384" width="9" style="472"/>
  </cols>
  <sheetData>
    <row r="1" spans="1:17" s="521" customFormat="1" ht="18" x14ac:dyDescent="0.35">
      <c r="A1" s="520" t="s">
        <v>361</v>
      </c>
    </row>
    <row r="2" spans="1:17" s="458" customFormat="1" ht="12" customHeight="1" thickBot="1" x14ac:dyDescent="0.4">
      <c r="A2" s="457"/>
    </row>
    <row r="3" spans="1:17" s="460" customFormat="1" ht="10.8" thickBot="1" x14ac:dyDescent="0.25">
      <c r="A3" s="459" t="s">
        <v>163</v>
      </c>
      <c r="F3" s="693" t="s">
        <v>167</v>
      </c>
      <c r="G3" s="694"/>
      <c r="H3" s="694"/>
      <c r="I3" s="695"/>
    </row>
    <row r="4" spans="1:17" s="460" customFormat="1" ht="10.199999999999999" x14ac:dyDescent="0.2">
      <c r="A4" s="461" t="s">
        <v>133</v>
      </c>
      <c r="F4" s="462" t="s">
        <v>157</v>
      </c>
      <c r="G4" s="463"/>
      <c r="H4" s="464" t="s">
        <v>158</v>
      </c>
      <c r="I4" s="465"/>
    </row>
    <row r="5" spans="1:17" s="460" customFormat="1" ht="10.199999999999999" x14ac:dyDescent="0.2">
      <c r="A5" s="466" t="s">
        <v>134</v>
      </c>
      <c r="B5" s="459">
        <v>2010</v>
      </c>
      <c r="F5" s="462" t="s">
        <v>143</v>
      </c>
      <c r="G5" s="463"/>
      <c r="H5" s="464" t="s">
        <v>159</v>
      </c>
      <c r="I5" s="465"/>
      <c r="K5" s="459" t="s">
        <v>165</v>
      </c>
    </row>
    <row r="6" spans="1:17" s="460" customFormat="1" ht="10.199999999999999" x14ac:dyDescent="0.2">
      <c r="A6" s="467" t="s">
        <v>69</v>
      </c>
      <c r="B6" s="468">
        <v>2306.5</v>
      </c>
      <c r="F6" s="469" t="s">
        <v>144</v>
      </c>
      <c r="G6" s="464">
        <v>2010</v>
      </c>
      <c r="H6" s="463" t="s">
        <v>160</v>
      </c>
      <c r="I6" s="470">
        <v>2010</v>
      </c>
      <c r="K6" s="460" t="s">
        <v>166</v>
      </c>
      <c r="L6" s="459">
        <v>2010</v>
      </c>
    </row>
    <row r="7" spans="1:17" x14ac:dyDescent="0.3">
      <c r="A7" s="471" t="s">
        <v>64</v>
      </c>
      <c r="B7" s="293">
        <f>B6/$B$14</f>
        <v>0.33595513800888499</v>
      </c>
      <c r="F7" s="469" t="s">
        <v>118</v>
      </c>
      <c r="G7" s="463">
        <v>1851</v>
      </c>
      <c r="H7" s="473" t="s">
        <v>145</v>
      </c>
      <c r="I7" s="474"/>
      <c r="K7" s="475" t="s">
        <v>74</v>
      </c>
      <c r="L7" s="476">
        <v>23775388</v>
      </c>
      <c r="M7" s="460"/>
    </row>
    <row r="8" spans="1:17" x14ac:dyDescent="0.3">
      <c r="A8" s="467" t="s">
        <v>68</v>
      </c>
      <c r="B8" s="468">
        <v>627.4</v>
      </c>
      <c r="F8" s="477" t="s">
        <v>135</v>
      </c>
      <c r="G8" s="524">
        <f>G7/$G$18</f>
        <v>0.45479115479115478</v>
      </c>
      <c r="H8" s="478" t="s">
        <v>146</v>
      </c>
      <c r="I8" s="479">
        <v>16.91</v>
      </c>
      <c r="K8" s="480" t="s">
        <v>88</v>
      </c>
      <c r="L8" s="476">
        <f>L7-L10-L9</f>
        <v>1282216</v>
      </c>
      <c r="M8" s="460"/>
      <c r="O8" s="481"/>
      <c r="P8" s="460"/>
      <c r="Q8" s="460"/>
    </row>
    <row r="9" spans="1:17" x14ac:dyDescent="0.3">
      <c r="A9" s="467" t="s">
        <v>67</v>
      </c>
      <c r="B9" s="468">
        <v>551</v>
      </c>
      <c r="F9" s="477" t="s">
        <v>136</v>
      </c>
      <c r="G9" s="482">
        <f>G7/$G$13</f>
        <v>0.65337098482174372</v>
      </c>
      <c r="H9" s="483" t="s">
        <v>135</v>
      </c>
      <c r="I9" s="294">
        <f>I8/$I$12</f>
        <v>0.97075803921350368</v>
      </c>
      <c r="K9" s="480" t="s">
        <v>89</v>
      </c>
      <c r="L9" s="481">
        <v>668847</v>
      </c>
      <c r="M9" s="460"/>
      <c r="O9" s="485"/>
      <c r="P9" s="460"/>
      <c r="Q9" s="460"/>
    </row>
    <row r="10" spans="1:17" x14ac:dyDescent="0.3">
      <c r="A10" s="467" t="s">
        <v>66</v>
      </c>
      <c r="B10" s="468">
        <f>B8+B9</f>
        <v>1178.4000000000001</v>
      </c>
      <c r="F10" s="469" t="s">
        <v>137</v>
      </c>
      <c r="G10" s="463">
        <v>982</v>
      </c>
      <c r="H10" s="478" t="s">
        <v>137</v>
      </c>
      <c r="I10" s="479">
        <f>I26*I30</f>
        <v>0.50937673130193917</v>
      </c>
      <c r="K10" s="475" t="s">
        <v>75</v>
      </c>
      <c r="L10" s="476">
        <v>21824325</v>
      </c>
      <c r="M10" s="460"/>
      <c r="O10" s="485"/>
      <c r="P10" s="460"/>
      <c r="Q10" s="460"/>
    </row>
    <row r="11" spans="1:17" x14ac:dyDescent="0.3">
      <c r="A11" s="471" t="s">
        <v>64</v>
      </c>
      <c r="B11" s="293">
        <f>B10/$B$14</f>
        <v>0.17164081275944942</v>
      </c>
      <c r="F11" s="477" t="s">
        <v>135</v>
      </c>
      <c r="G11" s="524">
        <f>G10/$G$18</f>
        <v>0.24127764127764129</v>
      </c>
      <c r="H11" s="483" t="s">
        <v>135</v>
      </c>
      <c r="I11" s="294">
        <f>I10/$I$12</f>
        <v>2.9241960786496404E-2</v>
      </c>
      <c r="K11" s="475" t="s">
        <v>76</v>
      </c>
      <c r="L11" s="476">
        <v>4787320</v>
      </c>
      <c r="M11" s="460"/>
      <c r="O11" s="486"/>
      <c r="P11" s="460"/>
      <c r="Q11" s="460"/>
    </row>
    <row r="12" spans="1:17" x14ac:dyDescent="0.3">
      <c r="A12" s="467" t="s">
        <v>65</v>
      </c>
      <c r="B12" s="468">
        <v>365.6</v>
      </c>
      <c r="F12" s="477" t="s">
        <v>136</v>
      </c>
      <c r="G12" s="482">
        <f>G10/$G$13</f>
        <v>0.34662901517825628</v>
      </c>
      <c r="H12" s="478" t="s">
        <v>85</v>
      </c>
      <c r="I12" s="479">
        <f>I8+I10</f>
        <v>17.419376731301938</v>
      </c>
      <c r="K12" s="487" t="s">
        <v>77</v>
      </c>
      <c r="L12" s="488">
        <f>L11/L$10</f>
        <v>0.21935707060814022</v>
      </c>
      <c r="M12" s="460"/>
      <c r="O12" s="489"/>
      <c r="P12" s="460"/>
      <c r="Q12" s="460"/>
    </row>
    <row r="13" spans="1:17" x14ac:dyDescent="0.3">
      <c r="A13" s="471" t="s">
        <v>64</v>
      </c>
      <c r="B13" s="293">
        <f>B12/$B$14</f>
        <v>5.3251766076760618E-2</v>
      </c>
      <c r="F13" s="469" t="s">
        <v>138</v>
      </c>
      <c r="G13" s="463">
        <f>G7+G10</f>
        <v>2833</v>
      </c>
      <c r="H13" s="483" t="s">
        <v>135</v>
      </c>
      <c r="I13" s="484">
        <f>I12/$I$12</f>
        <v>1</v>
      </c>
      <c r="K13" s="475" t="s">
        <v>78</v>
      </c>
      <c r="L13" s="476">
        <v>3101675</v>
      </c>
      <c r="M13" s="460"/>
    </row>
    <row r="14" spans="1:17" x14ac:dyDescent="0.3">
      <c r="A14" s="460" t="s">
        <v>63</v>
      </c>
      <c r="B14" s="468">
        <v>6865.5</v>
      </c>
      <c r="F14" s="469" t="s">
        <v>139</v>
      </c>
      <c r="G14" s="463">
        <v>807</v>
      </c>
      <c r="H14" s="490"/>
      <c r="I14" s="465"/>
      <c r="K14" s="487" t="s">
        <v>77</v>
      </c>
      <c r="L14" s="488">
        <f>L13/L$10</f>
        <v>0.14212008847925423</v>
      </c>
      <c r="M14" s="460"/>
    </row>
    <row r="15" spans="1:17" ht="14.4" thickBot="1" x14ac:dyDescent="0.35">
      <c r="A15" s="460"/>
      <c r="B15" s="491"/>
      <c r="F15" s="469" t="s">
        <v>140</v>
      </c>
      <c r="G15" s="463">
        <v>430</v>
      </c>
      <c r="H15" s="473" t="s">
        <v>147</v>
      </c>
      <c r="I15" s="465"/>
      <c r="K15" s="475" t="s">
        <v>79</v>
      </c>
      <c r="L15" s="476">
        <v>6517477</v>
      </c>
      <c r="M15" s="460"/>
    </row>
    <row r="16" spans="1:17" ht="14.4" thickBot="1" x14ac:dyDescent="0.35">
      <c r="A16" s="309" t="s">
        <v>313</v>
      </c>
      <c r="B16" s="307">
        <v>666.2</v>
      </c>
      <c r="C16" s="308" t="s">
        <v>95</v>
      </c>
      <c r="F16" s="469" t="s">
        <v>141</v>
      </c>
      <c r="G16" s="463">
        <f>G14+G15</f>
        <v>1237</v>
      </c>
      <c r="H16" s="478" t="s">
        <v>148</v>
      </c>
      <c r="I16" s="479">
        <v>5.77</v>
      </c>
      <c r="K16" s="487" t="s">
        <v>77</v>
      </c>
      <c r="L16" s="488">
        <f>L15/L$10</f>
        <v>0.29863361180700893</v>
      </c>
      <c r="M16" s="460"/>
      <c r="O16" s="492"/>
    </row>
    <row r="17" spans="1:15" x14ac:dyDescent="0.3">
      <c r="A17" s="301" t="s">
        <v>310</v>
      </c>
      <c r="B17" s="302">
        <f>225.7*(('Methane Leakage'!$C$5+'Methane Leakage'!$D$5)/0.023)</f>
        <v>225.7</v>
      </c>
      <c r="C17" s="303" t="s">
        <v>95</v>
      </c>
      <c r="F17" s="477" t="s">
        <v>135</v>
      </c>
      <c r="G17" s="524">
        <f>G16/$G$18</f>
        <v>0.30393120393120393</v>
      </c>
      <c r="H17" s="483" t="s">
        <v>135</v>
      </c>
      <c r="I17" s="294">
        <f>I16/$I$20</f>
        <v>0.96964632769676584</v>
      </c>
      <c r="K17" s="475" t="s">
        <v>80</v>
      </c>
      <c r="L17" s="476">
        <v>30670</v>
      </c>
      <c r="M17" s="460"/>
      <c r="O17" s="334"/>
    </row>
    <row r="18" spans="1:15" x14ac:dyDescent="0.3">
      <c r="A18" s="493" t="s">
        <v>311</v>
      </c>
      <c r="B18" s="572">
        <f>$B$16-225.7</f>
        <v>440.50000000000006</v>
      </c>
      <c r="C18" s="494" t="s">
        <v>95</v>
      </c>
      <c r="F18" s="462" t="s">
        <v>142</v>
      </c>
      <c r="G18" s="463">
        <f>G13+G16</f>
        <v>4070</v>
      </c>
      <c r="H18" s="478" t="s">
        <v>137</v>
      </c>
      <c r="I18" s="495">
        <f>I26*I35</f>
        <v>0.18062326869806095</v>
      </c>
      <c r="K18" s="487" t="s">
        <v>77</v>
      </c>
      <c r="L18" s="488">
        <f>L17/L$10</f>
        <v>1.4053126499903204E-3</v>
      </c>
      <c r="M18" s="460"/>
    </row>
    <row r="19" spans="1:15" ht="14.4" thickBot="1" x14ac:dyDescent="0.35">
      <c r="A19" s="304" t="s">
        <v>312</v>
      </c>
      <c r="B19" s="305">
        <f>$B$17+$B$18</f>
        <v>666.2</v>
      </c>
      <c r="C19" s="306" t="s">
        <v>95</v>
      </c>
      <c r="F19" s="496"/>
      <c r="G19" s="497"/>
      <c r="H19" s="483" t="s">
        <v>135</v>
      </c>
      <c r="I19" s="294">
        <f>I18/$I$20</f>
        <v>3.0353672303234144E-2</v>
      </c>
      <c r="K19" s="475" t="s">
        <v>81</v>
      </c>
      <c r="L19" s="476">
        <v>7387184</v>
      </c>
      <c r="M19" s="460"/>
    </row>
    <row r="20" spans="1:15" x14ac:dyDescent="0.3">
      <c r="F20" s="496"/>
      <c r="G20" s="497"/>
      <c r="H20" s="478" t="s">
        <v>85</v>
      </c>
      <c r="I20" s="479">
        <f>I16+I18</f>
        <v>5.9506232686980605</v>
      </c>
      <c r="K20" s="487" t="s">
        <v>77</v>
      </c>
      <c r="L20" s="488">
        <f>L19/L$10</f>
        <v>0.33848396227603833</v>
      </c>
      <c r="M20" s="460"/>
    </row>
    <row r="21" spans="1:15" x14ac:dyDescent="0.3">
      <c r="A21" s="459" t="s">
        <v>96</v>
      </c>
      <c r="F21" s="496"/>
      <c r="G21" s="497"/>
      <c r="H21" s="483" t="s">
        <v>135</v>
      </c>
      <c r="I21" s="484">
        <f>I20/$I$20</f>
        <v>1</v>
      </c>
      <c r="K21" s="460"/>
      <c r="L21" s="460"/>
      <c r="M21" s="460"/>
      <c r="N21" s="498"/>
    </row>
    <row r="22" spans="1:15" ht="14.4" thickBot="1" x14ac:dyDescent="0.35">
      <c r="A22" s="499" t="s">
        <v>162</v>
      </c>
      <c r="F22" s="496"/>
      <c r="G22" s="497"/>
      <c r="H22" s="490"/>
      <c r="I22" s="465"/>
      <c r="K22" s="460" t="s">
        <v>168</v>
      </c>
      <c r="L22" s="295">
        <f>L12+L14+L16</f>
        <v>0.6601107708944034</v>
      </c>
      <c r="M22" s="460"/>
      <c r="N22" s="498"/>
    </row>
    <row r="23" spans="1:15" ht="14.4" thickBot="1" x14ac:dyDescent="0.35">
      <c r="A23" s="500" t="s">
        <v>71</v>
      </c>
      <c r="B23" s="500" t="s">
        <v>72</v>
      </c>
      <c r="C23" s="517" t="s">
        <v>92</v>
      </c>
      <c r="D23" s="501" t="s">
        <v>93</v>
      </c>
      <c r="F23" s="496"/>
      <c r="G23" s="497"/>
      <c r="H23" s="473" t="s">
        <v>164</v>
      </c>
      <c r="I23" s="465"/>
      <c r="K23" s="460"/>
      <c r="L23" s="460"/>
      <c r="M23" s="460"/>
      <c r="N23" s="498"/>
    </row>
    <row r="24" spans="1:15" x14ac:dyDescent="0.3">
      <c r="A24" s="502">
        <v>1</v>
      </c>
      <c r="B24" s="503">
        <v>104.94605835588825</v>
      </c>
      <c r="C24" s="518">
        <f>$B$14-$B$16+D24</f>
        <v>9528.5887655567985</v>
      </c>
      <c r="D24" s="504">
        <f>$B$19*B24/21</f>
        <v>3329.2887655567979</v>
      </c>
      <c r="F24" s="525"/>
      <c r="G24" s="497"/>
      <c r="H24" s="478" t="s">
        <v>149</v>
      </c>
      <c r="I24" s="465">
        <v>0.65</v>
      </c>
    </row>
    <row r="25" spans="1:15" x14ac:dyDescent="0.3">
      <c r="A25" s="502">
        <v>2</v>
      </c>
      <c r="B25" s="503">
        <v>105.8964168631979</v>
      </c>
      <c r="C25" s="518">
        <f t="shared" ref="C25:C55" si="0">$B$14-$B$16+D25</f>
        <v>9558.7377578220221</v>
      </c>
      <c r="D25" s="504">
        <f t="shared" ref="D25:D88" si="1">$B$19*B25/21</f>
        <v>3359.437757822021</v>
      </c>
      <c r="F25" s="496"/>
      <c r="G25" s="497"/>
      <c r="H25" s="478" t="s">
        <v>150</v>
      </c>
      <c r="I25" s="465">
        <v>0.04</v>
      </c>
    </row>
    <row r="26" spans="1:15" x14ac:dyDescent="0.3">
      <c r="A26" s="502">
        <v>3</v>
      </c>
      <c r="B26" s="503">
        <v>105.45103527436916</v>
      </c>
      <c r="C26" s="518">
        <f t="shared" si="0"/>
        <v>9544.6085571326075</v>
      </c>
      <c r="D26" s="504">
        <f t="shared" si="1"/>
        <v>3345.3085571326069</v>
      </c>
      <c r="F26" s="496"/>
      <c r="G26" s="497"/>
      <c r="H26" s="505" t="s">
        <v>151</v>
      </c>
      <c r="I26" s="465">
        <f>I24+I25</f>
        <v>0.69000000000000006</v>
      </c>
    </row>
    <row r="27" spans="1:15" x14ac:dyDescent="0.3">
      <c r="A27" s="502">
        <v>4</v>
      </c>
      <c r="B27" s="503">
        <v>104.1856806291981</v>
      </c>
      <c r="C27" s="518">
        <f t="shared" si="0"/>
        <v>9504.4666873891329</v>
      </c>
      <c r="D27" s="504">
        <f t="shared" si="1"/>
        <v>3305.1666873891322</v>
      </c>
      <c r="F27" s="496"/>
      <c r="G27" s="497"/>
      <c r="H27" s="497"/>
      <c r="I27" s="465"/>
    </row>
    <row r="28" spans="1:15" x14ac:dyDescent="0.3">
      <c r="A28" s="502">
        <v>5</v>
      </c>
      <c r="B28" s="503">
        <v>102.45234191142383</v>
      </c>
      <c r="C28" s="518">
        <f t="shared" si="0"/>
        <v>9449.4785800662175</v>
      </c>
      <c r="D28" s="504">
        <f t="shared" si="1"/>
        <v>3250.1785800662169</v>
      </c>
      <c r="F28" s="496"/>
      <c r="G28" s="497"/>
      <c r="H28" s="464" t="s">
        <v>152</v>
      </c>
      <c r="I28" s="465"/>
    </row>
    <row r="29" spans="1:15" x14ac:dyDescent="0.3">
      <c r="A29" s="502">
        <v>6</v>
      </c>
      <c r="B29" s="503">
        <v>100.4612448294766</v>
      </c>
      <c r="C29" s="518">
        <f t="shared" si="0"/>
        <v>9386.3133954951099</v>
      </c>
      <c r="D29" s="504">
        <f t="shared" si="1"/>
        <v>3187.0133954951098</v>
      </c>
      <c r="F29" s="496"/>
      <c r="G29" s="497"/>
      <c r="H29" s="506" t="s">
        <v>153</v>
      </c>
      <c r="I29" s="465">
        <v>15.99</v>
      </c>
    </row>
    <row r="30" spans="1:15" x14ac:dyDescent="0.3">
      <c r="A30" s="502">
        <v>7</v>
      </c>
      <c r="B30" s="503">
        <v>98.337743021337431</v>
      </c>
      <c r="C30" s="518">
        <f t="shared" si="0"/>
        <v>9318.9478286102385</v>
      </c>
      <c r="D30" s="504">
        <f t="shared" si="1"/>
        <v>3119.6478286102379</v>
      </c>
      <c r="F30" s="496"/>
      <c r="G30" s="497"/>
      <c r="H30" s="483" t="s">
        <v>135</v>
      </c>
      <c r="I30" s="484">
        <f>I29/$I$36</f>
        <v>0.73822714681440449</v>
      </c>
    </row>
    <row r="31" spans="1:15" x14ac:dyDescent="0.3">
      <c r="A31" s="502">
        <v>8</v>
      </c>
      <c r="B31" s="503">
        <v>96.157274291387068</v>
      </c>
      <c r="C31" s="518">
        <f t="shared" si="0"/>
        <v>9249.7750539486697</v>
      </c>
      <c r="D31" s="504">
        <f t="shared" si="1"/>
        <v>3050.4750539486699</v>
      </c>
      <c r="F31" s="496"/>
      <c r="G31" s="497"/>
      <c r="H31" s="478" t="s">
        <v>154</v>
      </c>
      <c r="I31" s="465">
        <v>0.55000000000000004</v>
      </c>
    </row>
    <row r="32" spans="1:15" x14ac:dyDescent="0.3">
      <c r="A32" s="502">
        <v>9</v>
      </c>
      <c r="B32" s="503">
        <v>93.965844477186067</v>
      </c>
      <c r="C32" s="518">
        <f t="shared" si="0"/>
        <v>9180.2545519381601</v>
      </c>
      <c r="D32" s="504">
        <f t="shared" si="1"/>
        <v>2980.95455193816</v>
      </c>
      <c r="F32" s="496"/>
      <c r="G32" s="497"/>
      <c r="H32" s="507" t="s">
        <v>161</v>
      </c>
      <c r="I32" s="465">
        <v>0.25</v>
      </c>
    </row>
    <row r="33" spans="1:17" x14ac:dyDescent="0.3">
      <c r="A33" s="502">
        <v>10</v>
      </c>
      <c r="B33" s="503">
        <v>91.791864554967603</v>
      </c>
      <c r="C33" s="518">
        <f t="shared" si="0"/>
        <v>9111.287626977115</v>
      </c>
      <c r="D33" s="504">
        <f t="shared" si="1"/>
        <v>2911.9876269771153</v>
      </c>
      <c r="F33" s="496"/>
      <c r="G33" s="497"/>
      <c r="H33" s="478" t="s">
        <v>155</v>
      </c>
      <c r="I33" s="465">
        <v>4.87</v>
      </c>
    </row>
    <row r="34" spans="1:17" ht="12.75" customHeight="1" x14ac:dyDescent="0.3">
      <c r="A34" s="502">
        <v>11</v>
      </c>
      <c r="B34" s="503">
        <v>89.653016498904634</v>
      </c>
      <c r="C34" s="518">
        <f t="shared" si="0"/>
        <v>9043.4352186462038</v>
      </c>
      <c r="D34" s="504">
        <f t="shared" si="1"/>
        <v>2844.1352186462036</v>
      </c>
      <c r="F34" s="496"/>
      <c r="G34" s="497"/>
      <c r="H34" s="506" t="s">
        <v>156</v>
      </c>
      <c r="I34" s="465">
        <f>SUM(I31:I33)</f>
        <v>5.67</v>
      </c>
    </row>
    <row r="35" spans="1:17" x14ac:dyDescent="0.3">
      <c r="A35" s="502">
        <v>12</v>
      </c>
      <c r="B35" s="503">
        <v>87.560290874065217</v>
      </c>
      <c r="C35" s="518">
        <f t="shared" si="0"/>
        <v>8977.0459895382028</v>
      </c>
      <c r="D35" s="504">
        <f t="shared" si="1"/>
        <v>2777.7459895382026</v>
      </c>
      <c r="F35" s="496"/>
      <c r="G35" s="497"/>
      <c r="H35" s="483" t="s">
        <v>135</v>
      </c>
      <c r="I35" s="484">
        <f>I34/$I$36</f>
        <v>0.26177285318559557</v>
      </c>
    </row>
    <row r="36" spans="1:17" x14ac:dyDescent="0.3">
      <c r="A36" s="502">
        <v>13</v>
      </c>
      <c r="B36" s="503">
        <v>85.520408148112423</v>
      </c>
      <c r="C36" s="518">
        <f t="shared" si="0"/>
        <v>8912.3331384891662</v>
      </c>
      <c r="D36" s="504">
        <f t="shared" si="1"/>
        <v>2713.0331384891665</v>
      </c>
      <c r="F36" s="496"/>
      <c r="G36" s="497"/>
      <c r="H36" s="506" t="s">
        <v>85</v>
      </c>
      <c r="I36" s="465">
        <f>I29+I34</f>
        <v>21.66</v>
      </c>
    </row>
    <row r="37" spans="1:17" ht="14.4" thickBot="1" x14ac:dyDescent="0.35">
      <c r="A37" s="502">
        <v>14</v>
      </c>
      <c r="B37" s="503">
        <v>83.537304103722647</v>
      </c>
      <c r="C37" s="518">
        <f t="shared" si="0"/>
        <v>8849.4215235190495</v>
      </c>
      <c r="D37" s="504">
        <f t="shared" si="1"/>
        <v>2650.1215235190489</v>
      </c>
      <c r="F37" s="508"/>
      <c r="G37" s="509"/>
      <c r="H37" s="510" t="s">
        <v>135</v>
      </c>
      <c r="I37" s="511">
        <f>I36/$I$36</f>
        <v>1</v>
      </c>
    </row>
    <row r="38" spans="1:17" x14ac:dyDescent="0.3">
      <c r="A38" s="502">
        <v>15</v>
      </c>
      <c r="B38" s="503">
        <v>81.613063280951451</v>
      </c>
      <c r="C38" s="518">
        <f t="shared" si="0"/>
        <v>8788.3772741795183</v>
      </c>
      <c r="D38" s="504">
        <f t="shared" si="1"/>
        <v>2589.0772741795172</v>
      </c>
    </row>
    <row r="39" spans="1:17" x14ac:dyDescent="0.3">
      <c r="A39" s="502">
        <v>16</v>
      </c>
      <c r="B39" s="503">
        <v>79.748519848369099</v>
      </c>
      <c r="C39" s="518">
        <f t="shared" si="0"/>
        <v>8729.2268534754039</v>
      </c>
      <c r="D39" s="504">
        <f t="shared" si="1"/>
        <v>2529.9268534754046</v>
      </c>
    </row>
    <row r="40" spans="1:17" x14ac:dyDescent="0.3">
      <c r="A40" s="502">
        <v>17</v>
      </c>
      <c r="B40" s="503">
        <v>77.943653456247901</v>
      </c>
      <c r="C40" s="518">
        <f t="shared" si="0"/>
        <v>8671.9696158358274</v>
      </c>
      <c r="D40" s="504">
        <f t="shared" si="1"/>
        <v>2472.6696158358268</v>
      </c>
    </row>
    <row r="41" spans="1:17" x14ac:dyDescent="0.3">
      <c r="A41" s="502">
        <v>18</v>
      </c>
      <c r="B41" s="503">
        <v>76.197855723699263</v>
      </c>
      <c r="C41" s="518">
        <f t="shared" si="0"/>
        <v>8616.5862611013545</v>
      </c>
      <c r="D41" s="504">
        <f t="shared" si="1"/>
        <v>2417.2862611013547</v>
      </c>
    </row>
    <row r="42" spans="1:17" x14ac:dyDescent="0.3">
      <c r="A42" s="502">
        <v>19</v>
      </c>
      <c r="B42" s="503">
        <v>74.510113201883144</v>
      </c>
      <c r="C42" s="518">
        <f t="shared" si="0"/>
        <v>8563.0446388140263</v>
      </c>
      <c r="D42" s="504">
        <f t="shared" si="1"/>
        <v>2363.7446388140265</v>
      </c>
    </row>
    <row r="43" spans="1:17" ht="12.75" customHeight="1" x14ac:dyDescent="0.3">
      <c r="A43" s="502">
        <v>20</v>
      </c>
      <c r="B43" s="503">
        <v>72.879135210059985</v>
      </c>
      <c r="C43" s="518">
        <f t="shared" si="0"/>
        <v>8511.3038036639027</v>
      </c>
      <c r="D43" s="504">
        <f t="shared" si="1"/>
        <v>2312.003803663903</v>
      </c>
    </row>
    <row r="44" spans="1:17" x14ac:dyDescent="0.3">
      <c r="A44" s="502">
        <v>21</v>
      </c>
      <c r="B44" s="503">
        <v>71.303444523951867</v>
      </c>
      <c r="C44" s="518">
        <f t="shared" si="0"/>
        <v>8461.3168924693691</v>
      </c>
      <c r="D44" s="504">
        <f t="shared" si="1"/>
        <v>2262.0168924693685</v>
      </c>
      <c r="L44" s="460"/>
      <c r="M44" s="460"/>
      <c r="O44" s="512"/>
      <c r="P44" s="512"/>
      <c r="Q44" s="512"/>
    </row>
    <row r="45" spans="1:17" x14ac:dyDescent="0.3">
      <c r="A45" s="502">
        <v>22</v>
      </c>
      <c r="B45" s="503">
        <v>69.78144254478336</v>
      </c>
      <c r="C45" s="518">
        <f t="shared" si="0"/>
        <v>8413.0331915873649</v>
      </c>
      <c r="D45" s="504">
        <f t="shared" si="1"/>
        <v>2213.7331915873656</v>
      </c>
      <c r="K45" s="696"/>
      <c r="L45" s="696"/>
      <c r="M45" s="696"/>
    </row>
    <row r="46" spans="1:17" x14ac:dyDescent="0.3">
      <c r="A46" s="502">
        <v>23</v>
      </c>
      <c r="B46" s="503">
        <v>68.311456624068157</v>
      </c>
      <c r="C46" s="518">
        <f t="shared" si="0"/>
        <v>8366.3996382359146</v>
      </c>
      <c r="D46" s="504">
        <f t="shared" si="1"/>
        <v>2167.0996382359144</v>
      </c>
      <c r="K46" s="696"/>
      <c r="L46" s="696"/>
      <c r="M46" s="696"/>
    </row>
    <row r="47" spans="1:17" x14ac:dyDescent="0.3">
      <c r="A47" s="502">
        <v>24</v>
      </c>
      <c r="B47" s="503">
        <v>66.891774707922465</v>
      </c>
      <c r="C47" s="518">
        <f t="shared" si="0"/>
        <v>8321.3619195437132</v>
      </c>
      <c r="D47" s="504">
        <f t="shared" si="1"/>
        <v>2122.0619195437121</v>
      </c>
      <c r="K47" s="696"/>
      <c r="L47" s="696"/>
      <c r="M47" s="696"/>
    </row>
    <row r="48" spans="1:17" x14ac:dyDescent="0.3">
      <c r="A48" s="502">
        <v>25</v>
      </c>
      <c r="B48" s="503">
        <v>65.520670837913087</v>
      </c>
      <c r="C48" s="518">
        <f t="shared" si="0"/>
        <v>8277.8652815341775</v>
      </c>
      <c r="D48" s="504">
        <f t="shared" si="1"/>
        <v>2078.5652815341764</v>
      </c>
      <c r="K48" s="696"/>
      <c r="L48" s="696"/>
      <c r="M48" s="696"/>
    </row>
    <row r="49" spans="1:13" x14ac:dyDescent="0.3">
      <c r="A49" s="502">
        <v>26</v>
      </c>
      <c r="B49" s="503">
        <v>64.196423971860028</v>
      </c>
      <c r="C49" s="518">
        <f t="shared" si="0"/>
        <v>8235.8551261930079</v>
      </c>
      <c r="D49" s="504">
        <f t="shared" si="1"/>
        <v>2036.5551261930073</v>
      </c>
      <c r="K49" s="513"/>
      <c r="L49" s="513"/>
      <c r="M49" s="513"/>
    </row>
    <row r="50" spans="1:13" x14ac:dyDescent="0.3">
      <c r="A50" s="502">
        <v>27</v>
      </c>
      <c r="B50" s="503">
        <v>62.917331866955884</v>
      </c>
      <c r="C50" s="518">
        <f t="shared" si="0"/>
        <v>8195.2774518936203</v>
      </c>
      <c r="D50" s="504">
        <f t="shared" si="1"/>
        <v>1995.9774518936199</v>
      </c>
      <c r="K50" s="513"/>
      <c r="L50" s="513"/>
      <c r="M50" s="513"/>
    </row>
    <row r="51" spans="1:13" x14ac:dyDescent="0.3">
      <c r="A51" s="502">
        <v>28</v>
      </c>
      <c r="B51" s="503">
        <v>61.681721275246012</v>
      </c>
      <c r="C51" s="518">
        <f t="shared" si="0"/>
        <v>8156.0791768366144</v>
      </c>
      <c r="D51" s="504">
        <f t="shared" si="1"/>
        <v>1956.7791768366139</v>
      </c>
      <c r="K51" s="513"/>
      <c r="L51" s="513"/>
      <c r="M51" s="513"/>
    </row>
    <row r="52" spans="1:13" x14ac:dyDescent="0.3">
      <c r="A52" s="502">
        <v>29</v>
      </c>
      <c r="B52" s="503">
        <v>60.487955360165827</v>
      </c>
      <c r="C52" s="518">
        <f t="shared" si="0"/>
        <v>8118.2083743305939</v>
      </c>
      <c r="D52" s="504">
        <f t="shared" si="1"/>
        <v>1918.9083743305939</v>
      </c>
    </row>
    <row r="53" spans="1:13" x14ac:dyDescent="0.3">
      <c r="A53" s="502">
        <v>30</v>
      </c>
      <c r="B53" s="503">
        <v>59.334439002739195</v>
      </c>
      <c r="C53" s="518">
        <f t="shared" si="0"/>
        <v>8081.6144411249934</v>
      </c>
      <c r="D53" s="504">
        <f t="shared" si="1"/>
        <v>1882.3144411249932</v>
      </c>
    </row>
    <row r="54" spans="1:13" x14ac:dyDescent="0.3">
      <c r="A54" s="502">
        <v>31</v>
      </c>
      <c r="B54" s="503">
        <v>58.219622494899632</v>
      </c>
      <c r="C54" s="518">
        <f t="shared" si="0"/>
        <v>8046.2482145762924</v>
      </c>
      <c r="D54" s="504">
        <f t="shared" si="1"/>
        <v>1846.9482145762925</v>
      </c>
    </row>
    <row r="55" spans="1:13" x14ac:dyDescent="0.3">
      <c r="A55" s="502">
        <v>32</v>
      </c>
      <c r="B55" s="503">
        <v>57.142003993870581</v>
      </c>
      <c r="C55" s="518">
        <f t="shared" si="0"/>
        <v>8012.0620505103134</v>
      </c>
      <c r="D55" s="504">
        <f t="shared" si="1"/>
        <v>1812.7620505103134</v>
      </c>
    </row>
    <row r="56" spans="1:13" x14ac:dyDescent="0.3">
      <c r="A56" s="502">
        <v>33</v>
      </c>
      <c r="B56" s="503">
        <v>56.100131021341468</v>
      </c>
      <c r="C56" s="518">
        <f t="shared" ref="C56:C87" si="2">$B$14-$B$16+D56</f>
        <v>7979.0098707817951</v>
      </c>
      <c r="D56" s="504">
        <f t="shared" si="1"/>
        <v>1779.709870781795</v>
      </c>
    </row>
    <row r="57" spans="1:13" x14ac:dyDescent="0.3">
      <c r="A57" s="502">
        <v>34</v>
      </c>
      <c r="B57" s="503">
        <v>55.092601224590453</v>
      </c>
      <c r="C57" s="518">
        <f t="shared" si="2"/>
        <v>7947.047187420103</v>
      </c>
      <c r="D57" s="504">
        <f t="shared" si="1"/>
        <v>1747.7471874201028</v>
      </c>
    </row>
    <row r="58" spans="1:13" x14ac:dyDescent="0.3">
      <c r="A58" s="502">
        <v>35</v>
      </c>
      <c r="B58" s="503">
        <v>54.118062567049734</v>
      </c>
      <c r="C58" s="518">
        <f t="shared" si="2"/>
        <v>7916.1311086746919</v>
      </c>
      <c r="D58" s="504">
        <f t="shared" si="1"/>
        <v>1716.8311086746921</v>
      </c>
    </row>
    <row r="59" spans="1:13" x14ac:dyDescent="0.3">
      <c r="A59" s="502">
        <v>36</v>
      </c>
      <c r="B59" s="503">
        <v>53.175213078422644</v>
      </c>
      <c r="C59" s="518">
        <f t="shared" si="2"/>
        <v>7886.2203310878649</v>
      </c>
      <c r="D59" s="504">
        <f t="shared" si="1"/>
        <v>1686.9203310878652</v>
      </c>
    </row>
    <row r="60" spans="1:13" x14ac:dyDescent="0.3">
      <c r="A60" s="502">
        <v>37</v>
      </c>
      <c r="B60" s="503">
        <v>52.262800266062222</v>
      </c>
      <c r="C60" s="518">
        <f t="shared" si="2"/>
        <v>7857.2751208214595</v>
      </c>
      <c r="D60" s="504">
        <f t="shared" si="1"/>
        <v>1657.9751208214598</v>
      </c>
    </row>
    <row r="61" spans="1:13" x14ac:dyDescent="0.3">
      <c r="A61" s="502">
        <v>38</v>
      </c>
      <c r="B61" s="503">
        <v>51.379620267564896</v>
      </c>
      <c r="C61" s="518">
        <f t="shared" si="2"/>
        <v>7829.2572867738927</v>
      </c>
      <c r="D61" s="504">
        <f t="shared" si="1"/>
        <v>1629.9572867738923</v>
      </c>
    </row>
    <row r="62" spans="1:13" x14ac:dyDescent="0.3">
      <c r="A62" s="502">
        <v>39</v>
      </c>
      <c r="B62" s="503">
        <v>50.524516807735246</v>
      </c>
      <c r="C62" s="518">
        <f t="shared" si="2"/>
        <v>7802.1301474911061</v>
      </c>
      <c r="D62" s="504">
        <f t="shared" si="1"/>
        <v>1602.8301474911059</v>
      </c>
    </row>
    <row r="63" spans="1:13" x14ac:dyDescent="0.3">
      <c r="A63" s="502">
        <v>40</v>
      </c>
      <c r="B63" s="503">
        <v>49.69638001001293</v>
      </c>
      <c r="C63" s="518">
        <f t="shared" si="2"/>
        <v>7775.858493460506</v>
      </c>
      <c r="D63" s="504">
        <f t="shared" si="1"/>
        <v>1576.5584934605056</v>
      </c>
    </row>
    <row r="64" spans="1:13" x14ac:dyDescent="0.3">
      <c r="A64" s="502">
        <v>41</v>
      </c>
      <c r="B64" s="503">
        <v>48.894145102220733</v>
      </c>
      <c r="C64" s="518">
        <f t="shared" si="2"/>
        <v>7750.4085460523547</v>
      </c>
      <c r="D64" s="504">
        <f t="shared" si="1"/>
        <v>1551.108546052355</v>
      </c>
    </row>
    <row r="65" spans="1:4" x14ac:dyDescent="0.3">
      <c r="A65" s="502">
        <v>42</v>
      </c>
      <c r="B65" s="503">
        <v>48.116791048427508</v>
      </c>
      <c r="C65" s="518">
        <f t="shared" si="2"/>
        <v>7725.747914117258</v>
      </c>
      <c r="D65" s="504">
        <f t="shared" si="1"/>
        <v>1526.4479141172576</v>
      </c>
    </row>
    <row r="66" spans="1:4" x14ac:dyDescent="0.3">
      <c r="A66" s="502">
        <v>43</v>
      </c>
      <c r="B66" s="503">
        <v>47.363339132325194</v>
      </c>
      <c r="C66" s="518">
        <f t="shared" si="2"/>
        <v>7701.845549045478</v>
      </c>
      <c r="D66" s="504">
        <f t="shared" si="1"/>
        <v>1502.5455490454783</v>
      </c>
    </row>
    <row r="67" spans="1:4" x14ac:dyDescent="0.3">
      <c r="A67" s="502">
        <v>44</v>
      </c>
      <c r="B67" s="503">
        <v>46.632851512419961</v>
      </c>
      <c r="C67" s="518">
        <f t="shared" si="2"/>
        <v>7678.6716989321039</v>
      </c>
      <c r="D67" s="504">
        <f t="shared" si="1"/>
        <v>1479.3716989321038</v>
      </c>
    </row>
    <row r="68" spans="1:4" x14ac:dyDescent="0.3">
      <c r="A68" s="502">
        <v>45</v>
      </c>
      <c r="B68" s="503">
        <v>45.924429765252192</v>
      </c>
      <c r="C68" s="518">
        <f t="shared" si="2"/>
        <v>7656.1978623624291</v>
      </c>
      <c r="D68" s="504">
        <f t="shared" si="1"/>
        <v>1456.8978623624291</v>
      </c>
    </row>
    <row r="69" spans="1:4" x14ac:dyDescent="0.3">
      <c r="A69" s="502">
        <v>46</v>
      </c>
      <c r="B69" s="503">
        <v>45.237213429570467</v>
      </c>
      <c r="C69" s="518">
        <f t="shared" si="2"/>
        <v>7634.3967422276119</v>
      </c>
      <c r="D69" s="504">
        <f t="shared" si="1"/>
        <v>1435.0967422276117</v>
      </c>
    </row>
    <row r="70" spans="1:4" x14ac:dyDescent="0.3">
      <c r="A70" s="502">
        <v>47</v>
      </c>
      <c r="B70" s="503">
        <v>44.57037856172613</v>
      </c>
      <c r="C70" s="518">
        <f t="shared" si="2"/>
        <v>7613.2421998962836</v>
      </c>
      <c r="D70" s="504">
        <f t="shared" si="1"/>
        <v>1413.9421998962835</v>
      </c>
    </row>
    <row r="71" spans="1:4" x14ac:dyDescent="0.3">
      <c r="A71" s="502">
        <v>48</v>
      </c>
      <c r="B71" s="503">
        <v>43.923136310397517</v>
      </c>
      <c r="C71" s="518">
        <f t="shared" si="2"/>
        <v>7592.7092099993733</v>
      </c>
      <c r="D71" s="504">
        <f t="shared" si="1"/>
        <v>1393.4092099993727</v>
      </c>
    </row>
    <row r="72" spans="1:4" x14ac:dyDescent="0.3">
      <c r="A72" s="502">
        <v>49</v>
      </c>
      <c r="B72" s="503">
        <v>43.294731516997317</v>
      </c>
      <c r="C72" s="518">
        <f t="shared" si="2"/>
        <v>7572.7738160296958</v>
      </c>
      <c r="D72" s="504">
        <f t="shared" si="1"/>
        <v>1373.4738160296959</v>
      </c>
    </row>
    <row r="73" spans="1:4" x14ac:dyDescent="0.3">
      <c r="A73" s="502">
        <v>50</v>
      </c>
      <c r="B73" s="503">
        <v>42.684441346683776</v>
      </c>
      <c r="C73" s="518">
        <f t="shared" si="2"/>
        <v>7553.4130869124165</v>
      </c>
      <c r="D73" s="504">
        <f t="shared" si="1"/>
        <v>1354.1130869124158</v>
      </c>
    </row>
    <row r="74" spans="1:4" x14ac:dyDescent="0.3">
      <c r="A74" s="502">
        <v>51</v>
      </c>
      <c r="B74" s="503">
        <v>42.091573953724996</v>
      </c>
      <c r="C74" s="518">
        <f t="shared" si="2"/>
        <v>7534.6050746653145</v>
      </c>
      <c r="D74" s="504">
        <f t="shared" si="1"/>
        <v>1335.3050746653139</v>
      </c>
    </row>
    <row r="75" spans="1:4" x14ac:dyDescent="0.3">
      <c r="A75" s="502">
        <v>52</v>
      </c>
      <c r="B75" s="503">
        <v>41.515467184005544</v>
      </c>
      <c r="C75" s="518">
        <f t="shared" si="2"/>
        <v>7516.3287732373574</v>
      </c>
      <c r="D75" s="504">
        <f t="shared" si="1"/>
        <v>1317.028773237357</v>
      </c>
    </row>
    <row r="76" spans="1:4" x14ac:dyDescent="0.3">
      <c r="A76" s="502">
        <v>53</v>
      </c>
      <c r="B76" s="503">
        <v>40.955487316678919</v>
      </c>
      <c r="C76" s="518">
        <f t="shared" si="2"/>
        <v>7498.5640785891192</v>
      </c>
      <c r="D76" s="504">
        <f t="shared" si="1"/>
        <v>1299.264078589119</v>
      </c>
    </row>
    <row r="77" spans="1:4" x14ac:dyDescent="0.3">
      <c r="A77" s="502">
        <v>54</v>
      </c>
      <c r="B77" s="503">
        <v>40.411027846323918</v>
      </c>
      <c r="C77" s="518">
        <f t="shared" si="2"/>
        <v>7481.2917500581425</v>
      </c>
      <c r="D77" s="504">
        <f t="shared" si="1"/>
        <v>1281.9917500581428</v>
      </c>
    </row>
    <row r="78" spans="1:4" x14ac:dyDescent="0.3">
      <c r="A78" s="502">
        <v>55</v>
      </c>
      <c r="B78" s="503">
        <v>39.881508306435343</v>
      </c>
      <c r="C78" s="518">
        <f t="shared" si="2"/>
        <v>7464.4933730355824</v>
      </c>
      <c r="D78" s="504">
        <f t="shared" si="1"/>
        <v>1265.1933730355822</v>
      </c>
    </row>
    <row r="79" spans="1:4" x14ac:dyDescent="0.3">
      <c r="A79" s="502">
        <v>56</v>
      </c>
      <c r="B79" s="503">
        <v>39.366373134647112</v>
      </c>
      <c r="C79" s="518">
        <f t="shared" si="2"/>
        <v>7448.151322966758</v>
      </c>
      <c r="D79" s="504">
        <f t="shared" si="1"/>
        <v>1248.8513229667576</v>
      </c>
    </row>
    <row r="80" spans="1:4" x14ac:dyDescent="0.3">
      <c r="A80" s="502">
        <v>57</v>
      </c>
      <c r="B80" s="503">
        <v>38.865090579733419</v>
      </c>
      <c r="C80" s="518">
        <f t="shared" si="2"/>
        <v>7432.2487306770672</v>
      </c>
      <c r="D80" s="504">
        <f t="shared" si="1"/>
        <v>1232.9487306770668</v>
      </c>
    </row>
    <row r="81" spans="1:4" x14ac:dyDescent="0.3">
      <c r="A81" s="502">
        <v>58</v>
      </c>
      <c r="B81" s="503">
        <v>38.377151650147169</v>
      </c>
      <c r="C81" s="518">
        <f t="shared" si="2"/>
        <v>7416.7694490156209</v>
      </c>
      <c r="D81" s="504">
        <f t="shared" si="1"/>
        <v>1217.4694490156212</v>
      </c>
    </row>
    <row r="82" spans="1:4" x14ac:dyDescent="0.3">
      <c r="A82" s="502">
        <v>59</v>
      </c>
      <c r="B82" s="503">
        <v>37.902069103623269</v>
      </c>
      <c r="C82" s="518">
        <f t="shared" si="2"/>
        <v>7401.6980208016103</v>
      </c>
      <c r="D82" s="504">
        <f t="shared" si="1"/>
        <v>1202.3980208016105</v>
      </c>
    </row>
    <row r="83" spans="1:4" x14ac:dyDescent="0.3">
      <c r="A83" s="502">
        <v>60</v>
      </c>
      <c r="B83" s="503">
        <v>37.439376477188503</v>
      </c>
      <c r="C83" s="518">
        <f t="shared" si="2"/>
        <v>7387.0196480525228</v>
      </c>
      <c r="D83" s="504">
        <f t="shared" si="1"/>
        <v>1187.7196480525231</v>
      </c>
    </row>
    <row r="84" spans="1:4" x14ac:dyDescent="0.3">
      <c r="A84" s="502">
        <v>61</v>
      </c>
      <c r="B84" s="503">
        <v>36.988627156772239</v>
      </c>
      <c r="C84" s="518">
        <f t="shared" si="2"/>
        <v>7372.7201624686513</v>
      </c>
      <c r="D84" s="504">
        <f t="shared" si="1"/>
        <v>1173.4201624686507</v>
      </c>
    </row>
    <row r="85" spans="1:4" x14ac:dyDescent="0.3">
      <c r="A85" s="502">
        <v>62</v>
      </c>
      <c r="B85" s="503">
        <v>36.54939348549631</v>
      </c>
      <c r="C85" s="518">
        <f t="shared" si="2"/>
        <v>7358.7859971446496</v>
      </c>
      <c r="D85" s="504">
        <f t="shared" si="1"/>
        <v>1159.4859971446497</v>
      </c>
    </row>
    <row r="86" spans="1:4" x14ac:dyDescent="0.3">
      <c r="A86" s="502">
        <v>63</v>
      </c>
      <c r="B86" s="503">
        <v>36.121265909633394</v>
      </c>
      <c r="C86" s="518">
        <f t="shared" si="2"/>
        <v>7345.2041594760849</v>
      </c>
      <c r="D86" s="504">
        <f t="shared" si="1"/>
        <v>1145.9041594760843</v>
      </c>
    </row>
    <row r="87" spans="1:4" x14ac:dyDescent="0.3">
      <c r="A87" s="502">
        <v>64</v>
      </c>
      <c r="B87" s="503">
        <v>35.703852161156689</v>
      </c>
      <c r="C87" s="518">
        <f t="shared" si="2"/>
        <v>7331.9622052267896</v>
      </c>
      <c r="D87" s="504">
        <f t="shared" si="1"/>
        <v>1132.6622052267899</v>
      </c>
    </row>
    <row r="88" spans="1:4" x14ac:dyDescent="0.3">
      <c r="A88" s="502">
        <v>65</v>
      </c>
      <c r="B88" s="503">
        <v>35.296776475755465</v>
      </c>
      <c r="C88" s="518">
        <f t="shared" ref="C88:C119" si="3">$B$14-$B$16+D88</f>
        <v>7319.0482137213476</v>
      </c>
      <c r="D88" s="504">
        <f t="shared" si="1"/>
        <v>1119.7482137213472</v>
      </c>
    </row>
    <row r="89" spans="1:4" x14ac:dyDescent="0.3">
      <c r="A89" s="502">
        <v>66</v>
      </c>
      <c r="B89" s="503">
        <v>34.899678845158398</v>
      </c>
      <c r="C89" s="518">
        <f t="shared" si="3"/>
        <v>7306.4507641259297</v>
      </c>
      <c r="D89" s="504">
        <f t="shared" ref="D89:D152" si="4">$B$19*B89/21</f>
        <v>1107.1507641259298</v>
      </c>
    </row>
    <row r="90" spans="1:4" x14ac:dyDescent="0.3">
      <c r="A90" s="502">
        <v>67</v>
      </c>
      <c r="B90" s="503">
        <v>34.512214302587672</v>
      </c>
      <c r="C90" s="518">
        <f t="shared" si="3"/>
        <v>7294.1589127801863</v>
      </c>
      <c r="D90" s="504">
        <f t="shared" si="4"/>
        <v>1094.8589127801861</v>
      </c>
    </row>
    <row r="91" spans="1:4" x14ac:dyDescent="0.3">
      <c r="A91" s="502">
        <v>68</v>
      </c>
      <c r="B91" s="503">
        <v>34.134052240157409</v>
      </c>
      <c r="C91" s="518">
        <f t="shared" si="3"/>
        <v>7282.1621715425172</v>
      </c>
      <c r="D91" s="504">
        <f t="shared" si="4"/>
        <v>1082.8621715425174</v>
      </c>
    </row>
    <row r="92" spans="1:4" x14ac:dyDescent="0.3">
      <c r="A92" s="502">
        <v>69</v>
      </c>
      <c r="B92" s="503">
        <v>33.764875757030971</v>
      </c>
      <c r="C92" s="518">
        <f t="shared" si="3"/>
        <v>7270.4504871111449</v>
      </c>
      <c r="D92" s="504">
        <f t="shared" si="4"/>
        <v>1071.1504871111445</v>
      </c>
    </row>
    <row r="93" spans="1:4" x14ac:dyDescent="0.3">
      <c r="A93" s="502">
        <v>70</v>
      </c>
      <c r="B93" s="503">
        <v>33.404381037158757</v>
      </c>
      <c r="C93" s="518">
        <f t="shared" si="3"/>
        <v>7259.0142212835799</v>
      </c>
      <c r="D93" s="504">
        <f t="shared" si="4"/>
        <v>1059.7142212835793</v>
      </c>
    </row>
    <row r="94" spans="1:4" x14ac:dyDescent="0.3">
      <c r="A94" s="502">
        <v>71</v>
      </c>
      <c r="B94" s="503">
        <v>33.05227675543226</v>
      </c>
      <c r="C94" s="518">
        <f t="shared" si="3"/>
        <v>7247.8441321175706</v>
      </c>
      <c r="D94" s="504">
        <f t="shared" si="4"/>
        <v>1048.5441321175701</v>
      </c>
    </row>
    <row r="95" spans="1:4" x14ac:dyDescent="0.3">
      <c r="A95" s="502">
        <v>72</v>
      </c>
      <c r="B95" s="503">
        <v>32.708283511108526</v>
      </c>
      <c r="C95" s="518">
        <f t="shared" si="3"/>
        <v>7236.9313559571674</v>
      </c>
      <c r="D95" s="504">
        <f t="shared" si="4"/>
        <v>1037.6313559571668</v>
      </c>
    </row>
    <row r="96" spans="1:4" x14ac:dyDescent="0.3">
      <c r="A96" s="502">
        <v>73</v>
      </c>
      <c r="B96" s="503">
        <v>32.372133287382098</v>
      </c>
      <c r="C96" s="518">
        <f t="shared" si="3"/>
        <v>7226.2673902882834</v>
      </c>
      <c r="D96" s="504">
        <f t="shared" si="4"/>
        <v>1026.9673902882835</v>
      </c>
    </row>
    <row r="97" spans="1:4" x14ac:dyDescent="0.3">
      <c r="A97" s="502">
        <v>74</v>
      </c>
      <c r="B97" s="503">
        <v>32.043568936006857</v>
      </c>
      <c r="C97" s="518">
        <f t="shared" si="3"/>
        <v>7215.8440773889415</v>
      </c>
      <c r="D97" s="504">
        <f t="shared" si="4"/>
        <v>1016.5440773889413</v>
      </c>
    </row>
    <row r="98" spans="1:4" x14ac:dyDescent="0.3">
      <c r="A98" s="502">
        <v>75</v>
      </c>
      <c r="B98" s="503">
        <v>31.722343685898959</v>
      </c>
      <c r="C98" s="518">
        <f t="shared" si="3"/>
        <v>7205.6535887402806</v>
      </c>
      <c r="D98" s="504">
        <f t="shared" si="4"/>
        <v>1006.3535887402804</v>
      </c>
    </row>
    <row r="99" spans="1:4" x14ac:dyDescent="0.3">
      <c r="A99" s="502">
        <v>76</v>
      </c>
      <c r="B99" s="503">
        <v>31.408220674681935</v>
      </c>
      <c r="C99" s="518">
        <f t="shared" si="3"/>
        <v>7195.6884101653859</v>
      </c>
      <c r="D99" s="504">
        <f t="shared" si="4"/>
        <v>996.38841016538606</v>
      </c>
    </row>
    <row r="100" spans="1:4" x14ac:dyDescent="0.3">
      <c r="A100" s="502">
        <v>77</v>
      </c>
      <c r="B100" s="503">
        <v>31.100972502166545</v>
      </c>
      <c r="C100" s="518">
        <f t="shared" si="3"/>
        <v>7185.9413276639698</v>
      </c>
      <c r="D100" s="504">
        <f t="shared" si="4"/>
        <v>986.64132766396926</v>
      </c>
    </row>
    <row r="101" spans="1:4" x14ac:dyDescent="0.3">
      <c r="A101" s="502">
        <v>78</v>
      </c>
      <c r="B101" s="503">
        <v>30.800380804790557</v>
      </c>
      <c r="C101" s="518">
        <f t="shared" si="3"/>
        <v>7176.4054139119744</v>
      </c>
      <c r="D101" s="504">
        <f t="shared" si="4"/>
        <v>977.10541391197467</v>
      </c>
    </row>
    <row r="102" spans="1:4" x14ac:dyDescent="0.3">
      <c r="A102" s="502">
        <v>79</v>
      </c>
      <c r="B102" s="503">
        <v>30.506235850076841</v>
      </c>
      <c r="C102" s="518">
        <f t="shared" si="3"/>
        <v>7167.0740153962479</v>
      </c>
      <c r="D102" s="504">
        <f t="shared" si="4"/>
        <v>967.77401539624736</v>
      </c>
    </row>
    <row r="103" spans="1:4" x14ac:dyDescent="0.3">
      <c r="A103" s="502">
        <v>80</v>
      </c>
      <c r="B103" s="503">
        <v>30.218336150201289</v>
      </c>
      <c r="C103" s="518">
        <f t="shared" si="3"/>
        <v>7157.9407401554336</v>
      </c>
      <c r="D103" s="504">
        <f t="shared" si="4"/>
        <v>958.64074015543326</v>
      </c>
    </row>
    <row r="104" spans="1:4" x14ac:dyDescent="0.3">
      <c r="A104" s="502">
        <v>81</v>
      </c>
      <c r="B104" s="503">
        <v>29.936488093795877</v>
      </c>
      <c r="C104" s="518">
        <f t="shared" si="3"/>
        <v>7148.9994460993721</v>
      </c>
      <c r="D104" s="504">
        <f t="shared" si="4"/>
        <v>949.69944609937215</v>
      </c>
    </row>
    <row r="105" spans="1:4" x14ac:dyDescent="0.3">
      <c r="A105" s="502">
        <v>82</v>
      </c>
      <c r="B105" s="503">
        <v>29.660505595145278</v>
      </c>
      <c r="C105" s="518">
        <f t="shared" si="3"/>
        <v>7140.2442298802753</v>
      </c>
      <c r="D105" s="504">
        <f t="shared" si="4"/>
        <v>940.94422988027543</v>
      </c>
    </row>
    <row r="106" spans="1:4" x14ac:dyDescent="0.3">
      <c r="A106" s="502">
        <v>83</v>
      </c>
      <c r="B106" s="503">
        <v>29.390209759968535</v>
      </c>
      <c r="C106" s="518">
        <f t="shared" si="3"/>
        <v>7131.6694162900494</v>
      </c>
      <c r="D106" s="504">
        <f t="shared" si="4"/>
        <v>932.36941629004946</v>
      </c>
    </row>
    <row r="107" spans="1:4" x14ac:dyDescent="0.3">
      <c r="A107" s="502">
        <v>84</v>
      </c>
      <c r="B107" s="503">
        <v>29.125428567009706</v>
      </c>
      <c r="C107" s="518">
        <f t="shared" si="3"/>
        <v>7123.2695481591363</v>
      </c>
      <c r="D107" s="504">
        <f t="shared" si="4"/>
        <v>923.96954815913648</v>
      </c>
    </row>
    <row r="108" spans="1:4" x14ac:dyDescent="0.3">
      <c r="A108" s="502">
        <v>85</v>
      </c>
      <c r="B108" s="503">
        <v>28.86599656469355</v>
      </c>
      <c r="C108" s="518">
        <f t="shared" si="3"/>
        <v>7115.0393767332789</v>
      </c>
      <c r="D108" s="504">
        <f t="shared" si="4"/>
        <v>915.73937673327828</v>
      </c>
    </row>
    <row r="109" spans="1:4" x14ac:dyDescent="0.3">
      <c r="A109" s="502">
        <v>86</v>
      </c>
      <c r="B109" s="503">
        <v>28.611754582133219</v>
      </c>
      <c r="C109" s="518">
        <f t="shared" si="3"/>
        <v>7106.9738525055791</v>
      </c>
      <c r="D109" s="504">
        <f t="shared" si="4"/>
        <v>907.67385250557868</v>
      </c>
    </row>
    <row r="110" spans="1:4" x14ac:dyDescent="0.3">
      <c r="A110" s="502">
        <v>87</v>
      </c>
      <c r="B110" s="503">
        <v>28.362549453807642</v>
      </c>
      <c r="C110" s="518">
        <f t="shared" si="3"/>
        <v>7099.0681164822217</v>
      </c>
      <c r="D110" s="504">
        <f t="shared" si="4"/>
        <v>899.76811648222156</v>
      </c>
    </row>
    <row r="111" spans="1:4" x14ac:dyDescent="0.3">
      <c r="A111" s="502">
        <v>88</v>
      </c>
      <c r="B111" s="503">
        <v>28.118233757255961</v>
      </c>
      <c r="C111" s="518">
        <f t="shared" si="3"/>
        <v>7091.3174918611394</v>
      </c>
      <c r="D111" s="504">
        <f t="shared" si="4"/>
        <v>892.01749186113909</v>
      </c>
    </row>
    <row r="112" spans="1:4" x14ac:dyDescent="0.3">
      <c r="A112" s="502">
        <v>89</v>
      </c>
      <c r="B112" s="503">
        <v>27.878665563164827</v>
      </c>
      <c r="C112" s="518">
        <f t="shared" si="3"/>
        <v>7083.7174761038295</v>
      </c>
      <c r="D112" s="504">
        <f t="shared" si="4"/>
        <v>884.41747610382902</v>
      </c>
    </row>
    <row r="113" spans="1:5" x14ac:dyDescent="0.3">
      <c r="A113" s="502">
        <v>90</v>
      </c>
      <c r="B113" s="503">
        <v>27.643708197252725</v>
      </c>
      <c r="C113" s="518">
        <f t="shared" si="3"/>
        <v>7076.2637333814173</v>
      </c>
      <c r="D113" s="504">
        <f t="shared" si="4"/>
        <v>876.96373338141746</v>
      </c>
    </row>
    <row r="114" spans="1:5" x14ac:dyDescent="0.3">
      <c r="A114" s="502">
        <v>91</v>
      </c>
      <c r="B114" s="503">
        <v>27.41323001338198</v>
      </c>
      <c r="C114" s="518">
        <f t="shared" si="3"/>
        <v>7068.9520873769088</v>
      </c>
      <c r="D114" s="504">
        <f t="shared" si="4"/>
        <v>869.65208737690841</v>
      </c>
    </row>
    <row r="115" spans="1:5" x14ac:dyDescent="0.3">
      <c r="A115" s="502">
        <v>92</v>
      </c>
      <c r="B115" s="503">
        <v>27.18710417735549</v>
      </c>
      <c r="C115" s="518">
        <f t="shared" si="3"/>
        <v>7061.7785144263917</v>
      </c>
      <c r="D115" s="504">
        <f t="shared" si="4"/>
        <v>862.47851442639183</v>
      </c>
    </row>
    <row r="116" spans="1:5" x14ac:dyDescent="0.3">
      <c r="A116" s="502">
        <v>93</v>
      </c>
      <c r="B116" s="503">
        <v>26.965208460880035</v>
      </c>
      <c r="C116" s="518">
        <f t="shared" si="3"/>
        <v>7054.7391369827756</v>
      </c>
      <c r="D116" s="504">
        <f t="shared" si="4"/>
        <v>855.43913698277515</v>
      </c>
      <c r="E116" s="497"/>
    </row>
    <row r="117" spans="1:5" x14ac:dyDescent="0.3">
      <c r="A117" s="502">
        <v>94</v>
      </c>
      <c r="B117" s="503">
        <v>26.747425045202434</v>
      </c>
      <c r="C117" s="518">
        <f t="shared" si="3"/>
        <v>7047.8302173863749</v>
      </c>
      <c r="D117" s="504">
        <f t="shared" si="4"/>
        <v>848.53021738637437</v>
      </c>
      <c r="E117" s="497"/>
    </row>
    <row r="118" spans="1:5" x14ac:dyDescent="0.3">
      <c r="A118" s="502">
        <v>95</v>
      </c>
      <c r="B118" s="503">
        <v>26.533640333947588</v>
      </c>
      <c r="C118" s="518">
        <f t="shared" si="3"/>
        <v>7041.0481519274235</v>
      </c>
      <c r="D118" s="504">
        <f t="shared" si="4"/>
        <v>841.74815192742312</v>
      </c>
    </row>
    <row r="119" spans="1:5" x14ac:dyDescent="0.3">
      <c r="A119" s="502">
        <v>96</v>
      </c>
      <c r="B119" s="503">
        <v>26.32374477471031</v>
      </c>
      <c r="C119" s="518">
        <f t="shared" si="3"/>
        <v>7034.3894651862865</v>
      </c>
      <c r="D119" s="504">
        <f t="shared" si="4"/>
        <v>835.08946518628625</v>
      </c>
    </row>
    <row r="120" spans="1:5" x14ac:dyDescent="0.3">
      <c r="A120" s="502">
        <v>97</v>
      </c>
      <c r="B120" s="503">
        <v>26.1176326889737</v>
      </c>
      <c r="C120" s="518">
        <f t="shared" ref="C120:C151" si="5">$B$14-$B$16+D120</f>
        <v>7027.8508046378229</v>
      </c>
      <c r="D120" s="504">
        <f t="shared" si="4"/>
        <v>828.55080463782292</v>
      </c>
    </row>
    <row r="121" spans="1:5" x14ac:dyDescent="0.3">
      <c r="A121" s="502">
        <v>98</v>
      </c>
      <c r="B121" s="503">
        <v>25.915202109947547</v>
      </c>
      <c r="C121" s="518">
        <f t="shared" si="5"/>
        <v>7021.4289355070032</v>
      </c>
      <c r="D121" s="504">
        <f t="shared" si="4"/>
        <v>822.12893550700267</v>
      </c>
    </row>
    <row r="122" spans="1:5" x14ac:dyDescent="0.3">
      <c r="A122" s="502">
        <v>99</v>
      </c>
      <c r="B122" s="503">
        <v>25.716354627939868</v>
      </c>
      <c r="C122" s="518">
        <f t="shared" si="5"/>
        <v>7015.120735863502</v>
      </c>
      <c r="D122" s="504">
        <f t="shared" si="4"/>
        <v>815.82073586350191</v>
      </c>
    </row>
    <row r="123" spans="1:5" x14ac:dyDescent="0.3">
      <c r="A123" s="502">
        <v>100</v>
      </c>
      <c r="B123" s="503">
        <v>25.520995242893427</v>
      </c>
      <c r="C123" s="518">
        <f t="shared" si="5"/>
        <v>7008.9231919436006</v>
      </c>
      <c r="D123" s="504">
        <f t="shared" si="4"/>
        <v>809.62319194360009</v>
      </c>
    </row>
    <row r="124" spans="1:5" x14ac:dyDescent="0.3">
      <c r="A124" s="502">
        <f>A123+1</f>
        <v>101</v>
      </c>
      <c r="B124" s="503">
        <v>25.329032223736771</v>
      </c>
      <c r="C124" s="518">
        <f t="shared" si="5"/>
        <v>7002.8333936882591</v>
      </c>
      <c r="D124" s="504">
        <f t="shared" si="4"/>
        <v>803.53339368825891</v>
      </c>
    </row>
    <row r="125" spans="1:5" x14ac:dyDescent="0.3">
      <c r="A125" s="502">
        <f t="shared" ref="A125:A173" si="6">A124+1</f>
        <v>102</v>
      </c>
      <c r="B125" s="503">
        <v>25.14037697421703</v>
      </c>
      <c r="C125" s="518">
        <f t="shared" si="5"/>
        <v>6996.8485304868282</v>
      </c>
      <c r="D125" s="504">
        <f t="shared" si="4"/>
        <v>797.54853048682799</v>
      </c>
    </row>
    <row r="126" spans="1:5" x14ac:dyDescent="0.3">
      <c r="A126" s="502">
        <f t="shared" si="6"/>
        <v>103</v>
      </c>
      <c r="B126" s="503">
        <v>24.954943904897362</v>
      </c>
      <c r="C126" s="518">
        <f t="shared" si="5"/>
        <v>6990.9658871163156</v>
      </c>
      <c r="D126" s="504">
        <f t="shared" si="4"/>
        <v>791.66588711631539</v>
      </c>
    </row>
    <row r="127" spans="1:5" x14ac:dyDescent="0.3">
      <c r="A127" s="502">
        <f t="shared" si="6"/>
        <v>104</v>
      </c>
      <c r="B127" s="503">
        <v>24.772650311018165</v>
      </c>
      <c r="C127" s="518">
        <f t="shared" si="5"/>
        <v>6985.1828398666812</v>
      </c>
      <c r="D127" s="504">
        <f t="shared" si="4"/>
        <v>785.88283986668102</v>
      </c>
    </row>
    <row r="128" spans="1:5" x14ac:dyDescent="0.3">
      <c r="A128" s="502">
        <f t="shared" si="6"/>
        <v>105</v>
      </c>
      <c r="B128" s="503">
        <v>24.59341625593563</v>
      </c>
      <c r="C128" s="518">
        <f t="shared" si="5"/>
        <v>6979.4968528430627</v>
      </c>
      <c r="D128" s="504">
        <f t="shared" si="4"/>
        <v>780.19685284306274</v>
      </c>
    </row>
    <row r="129" spans="1:4" x14ac:dyDescent="0.3">
      <c r="A129" s="502">
        <f t="shared" si="6"/>
        <v>106</v>
      </c>
      <c r="B129" s="503">
        <v>24.417164459865688</v>
      </c>
      <c r="C129" s="518">
        <f t="shared" si="5"/>
        <v>6973.9054744363111</v>
      </c>
      <c r="D129" s="504">
        <f t="shared" si="4"/>
        <v>774.6054744363106</v>
      </c>
    </row>
    <row r="130" spans="1:4" x14ac:dyDescent="0.3">
      <c r="A130" s="502">
        <f t="shared" si="6"/>
        <v>107</v>
      </c>
      <c r="B130" s="503">
        <v>24.243820193674676</v>
      </c>
      <c r="C130" s="518">
        <f t="shared" si="5"/>
        <v>6968.4063339536224</v>
      </c>
      <c r="D130" s="504">
        <f t="shared" si="4"/>
        <v>769.10633395362242</v>
      </c>
    </row>
    <row r="131" spans="1:4" x14ac:dyDescent="0.3">
      <c r="A131" s="502">
        <f t="shared" si="6"/>
        <v>108</v>
      </c>
      <c r="B131" s="503">
        <v>24.073311177471183</v>
      </c>
      <c r="C131" s="518">
        <f t="shared" si="5"/>
        <v>6962.9971384014907</v>
      </c>
      <c r="D131" s="504">
        <f t="shared" si="4"/>
        <v>763.69713840149063</v>
      </c>
    </row>
    <row r="132" spans="1:4" x14ac:dyDescent="0.3">
      <c r="A132" s="502">
        <f t="shared" si="6"/>
        <v>109</v>
      </c>
      <c r="B132" s="503">
        <v>23.905567483765488</v>
      </c>
      <c r="C132" s="518">
        <f t="shared" si="5"/>
        <v>6957.6756694135511</v>
      </c>
      <c r="D132" s="504">
        <f t="shared" si="4"/>
        <v>758.3756694135509</v>
      </c>
    </row>
    <row r="133" spans="1:4" x14ac:dyDescent="0.3">
      <c r="A133" s="502">
        <f t="shared" si="6"/>
        <v>110</v>
      </c>
      <c r="B133" s="503">
        <v>23.74052144497503</v>
      </c>
      <c r="C133" s="518">
        <f t="shared" si="5"/>
        <v>6952.4397803163029</v>
      </c>
      <c r="D133" s="504">
        <f t="shared" si="4"/>
        <v>753.13978031630313</v>
      </c>
    </row>
    <row r="134" spans="1:4" x14ac:dyDescent="0.3">
      <c r="A134" s="502">
        <f t="shared" si="6"/>
        <v>111</v>
      </c>
      <c r="B134" s="503">
        <v>23.578107565065082</v>
      </c>
      <c r="C134" s="518">
        <f t="shared" si="5"/>
        <v>6947.2873933260171</v>
      </c>
      <c r="D134" s="504">
        <f t="shared" si="4"/>
        <v>747.98739332601713</v>
      </c>
    </row>
    <row r="135" spans="1:4" x14ac:dyDescent="0.3">
      <c r="A135" s="502">
        <f t="shared" si="6"/>
        <v>112</v>
      </c>
      <c r="B135" s="503">
        <v>23.418262435124596</v>
      </c>
      <c r="C135" s="518">
        <f t="shared" si="5"/>
        <v>6942.2164968704765</v>
      </c>
      <c r="D135" s="504">
        <f t="shared" si="4"/>
        <v>742.91649687047652</v>
      </c>
    </row>
    <row r="136" spans="1:4" x14ac:dyDescent="0.3">
      <c r="A136" s="502">
        <f t="shared" si="6"/>
        <v>113</v>
      </c>
      <c r="B136" s="503">
        <v>23.260924652687137</v>
      </c>
      <c r="C136" s="518">
        <f t="shared" si="5"/>
        <v>6937.2251430295319</v>
      </c>
      <c r="D136" s="504">
        <f t="shared" si="4"/>
        <v>737.92514302953202</v>
      </c>
    </row>
    <row r="137" spans="1:4" x14ac:dyDescent="0.3">
      <c r="A137" s="502">
        <f t="shared" si="6"/>
        <v>114</v>
      </c>
      <c r="B137" s="503">
        <v>23.106034744616377</v>
      </c>
      <c r="C137" s="518">
        <f t="shared" si="5"/>
        <v>6932.3114450887351</v>
      </c>
      <c r="D137" s="504">
        <f t="shared" si="4"/>
        <v>733.01144508873483</v>
      </c>
    </row>
    <row r="138" spans="1:4" x14ac:dyDescent="0.3">
      <c r="A138" s="502">
        <f t="shared" si="6"/>
        <v>115</v>
      </c>
      <c r="B138" s="503">
        <v>22.953535093384602</v>
      </c>
      <c r="C138" s="518">
        <f t="shared" si="5"/>
        <v>6927.4735752006109</v>
      </c>
      <c r="D138" s="504">
        <f t="shared" si="4"/>
        <v>728.17357520061068</v>
      </c>
    </row>
    <row r="139" spans="1:4" x14ac:dyDescent="0.3">
      <c r="A139" s="502">
        <f t="shared" si="6"/>
        <v>116</v>
      </c>
      <c r="B139" s="503">
        <v>22.803369866581463</v>
      </c>
      <c r="C139" s="518">
        <f t="shared" si="5"/>
        <v>6922.7097621484081</v>
      </c>
      <c r="D139" s="504">
        <f t="shared" si="4"/>
        <v>723.40976214840816</v>
      </c>
    </row>
    <row r="140" spans="1:4" x14ac:dyDescent="0.3">
      <c r="A140" s="502">
        <f t="shared" si="6"/>
        <v>117</v>
      </c>
      <c r="B140" s="503">
        <v>22.655484949498234</v>
      </c>
      <c r="C140" s="518">
        <f t="shared" si="5"/>
        <v>6918.0182892074154</v>
      </c>
      <c r="D140" s="504">
        <f t="shared" si="4"/>
        <v>718.71828920741552</v>
      </c>
    </row>
    <row r="141" spans="1:4" x14ac:dyDescent="0.3">
      <c r="A141" s="502">
        <f t="shared" si="6"/>
        <v>118</v>
      </c>
      <c r="B141" s="503">
        <v>22.509827880640604</v>
      </c>
      <c r="C141" s="518">
        <f t="shared" si="5"/>
        <v>6913.3974920991795</v>
      </c>
      <c r="D141" s="504">
        <f t="shared" si="4"/>
        <v>714.09749209917959</v>
      </c>
    </row>
    <row r="142" spans="1:4" x14ac:dyDescent="0.3">
      <c r="A142" s="502">
        <f t="shared" si="6"/>
        <v>119</v>
      </c>
      <c r="B142" s="503">
        <v>22.366347790030506</v>
      </c>
      <c r="C142" s="518">
        <f t="shared" si="5"/>
        <v>6908.8457570342061</v>
      </c>
      <c r="D142" s="504">
        <f t="shared" si="4"/>
        <v>709.54575703420585</v>
      </c>
    </row>
    <row r="143" spans="1:4" x14ac:dyDescent="0.3">
      <c r="A143" s="502">
        <f t="shared" si="6"/>
        <v>120</v>
      </c>
      <c r="B143" s="503">
        <v>22.224995340164487</v>
      </c>
      <c r="C143" s="518">
        <f t="shared" si="5"/>
        <v>6904.3615188389322</v>
      </c>
      <c r="D143" s="504">
        <f t="shared" si="4"/>
        <v>705.06151883893244</v>
      </c>
    </row>
    <row r="144" spans="1:4" x14ac:dyDescent="0.3">
      <c r="A144" s="502">
        <f t="shared" si="6"/>
        <v>121</v>
      </c>
      <c r="B144" s="503">
        <v>22.085722669502566</v>
      </c>
      <c r="C144" s="518">
        <f t="shared" si="5"/>
        <v>6899.9432591629811</v>
      </c>
      <c r="D144" s="504">
        <f t="shared" si="4"/>
        <v>700.64325916298139</v>
      </c>
    </row>
    <row r="145" spans="1:4" x14ac:dyDescent="0.3">
      <c r="A145" s="502">
        <f t="shared" si="6"/>
        <v>122</v>
      </c>
      <c r="B145" s="503">
        <v>21.948483338368131</v>
      </c>
      <c r="C145" s="518">
        <f t="shared" si="5"/>
        <v>6895.5895047628983</v>
      </c>
      <c r="D145" s="504">
        <f t="shared" si="4"/>
        <v>696.28950476289765</v>
      </c>
    </row>
    <row r="146" spans="1:4" x14ac:dyDescent="0.3">
      <c r="A146" s="502">
        <f t="shared" si="6"/>
        <v>123</v>
      </c>
      <c r="B146" s="503">
        <v>21.813232277145186</v>
      </c>
      <c r="C146" s="518">
        <f t="shared" si="5"/>
        <v>6891.2988258587684</v>
      </c>
      <c r="D146" s="504">
        <f t="shared" si="4"/>
        <v>691.99882585876787</v>
      </c>
    </row>
    <row r="147" spans="1:4" x14ac:dyDescent="0.3">
      <c r="A147" s="502">
        <f t="shared" si="6"/>
        <v>124</v>
      </c>
      <c r="B147" s="503">
        <v>21.67992573666508</v>
      </c>
      <c r="C147" s="518">
        <f t="shared" si="5"/>
        <v>6887.0698345602996</v>
      </c>
      <c r="D147" s="504">
        <f t="shared" si="4"/>
        <v>687.76983456029893</v>
      </c>
    </row>
    <row r="148" spans="1:4" x14ac:dyDescent="0.3">
      <c r="A148" s="502">
        <f t="shared" si="6"/>
        <v>125</v>
      </c>
      <c r="B148" s="503">
        <v>21.548521240680088</v>
      </c>
      <c r="C148" s="518">
        <f t="shared" si="5"/>
        <v>6882.9011833590994</v>
      </c>
      <c r="D148" s="504">
        <f t="shared" si="4"/>
        <v>683.60118335909885</v>
      </c>
    </row>
    <row r="149" spans="1:4" x14ac:dyDescent="0.3">
      <c r="A149" s="502">
        <f t="shared" si="6"/>
        <v>126</v>
      </c>
      <c r="B149" s="503">
        <v>21.418977540326541</v>
      </c>
      <c r="C149" s="518">
        <f t="shared" si="5"/>
        <v>6878.7915636840735</v>
      </c>
      <c r="D149" s="504">
        <f t="shared" si="4"/>
        <v>679.49156368407341</v>
      </c>
    </row>
    <row r="150" spans="1:4" x14ac:dyDescent="0.3">
      <c r="A150" s="502">
        <f t="shared" si="6"/>
        <v>127</v>
      </c>
      <c r="B150" s="503">
        <v>21.291254570484867</v>
      </c>
      <c r="C150" s="518">
        <f t="shared" si="5"/>
        <v>6874.739704517001</v>
      </c>
      <c r="D150" s="504">
        <f t="shared" si="4"/>
        <v>675.43970451700091</v>
      </c>
    </row>
    <row r="151" spans="1:4" x14ac:dyDescent="0.3">
      <c r="A151" s="502">
        <f t="shared" si="6"/>
        <v>128</v>
      </c>
      <c r="B151" s="503">
        <v>21.165313407948627</v>
      </c>
      <c r="C151" s="518">
        <f t="shared" si="5"/>
        <v>6870.7443710654943</v>
      </c>
      <c r="D151" s="504">
        <f t="shared" si="4"/>
        <v>671.44437106549412</v>
      </c>
    </row>
    <row r="152" spans="1:4" x14ac:dyDescent="0.3">
      <c r="A152" s="502">
        <f t="shared" si="6"/>
        <v>129</v>
      </c>
      <c r="B152" s="503">
        <v>21.041116231318849</v>
      </c>
      <c r="C152" s="518">
        <f t="shared" ref="C152:C173" si="7">$B$14-$B$16+D152</f>
        <v>6866.8043634906962</v>
      </c>
      <c r="D152" s="504">
        <f t="shared" si="4"/>
        <v>667.50436349069616</v>
      </c>
    </row>
    <row r="153" spans="1:4" x14ac:dyDescent="0.3">
      <c r="A153" s="502">
        <f t="shared" si="6"/>
        <v>130</v>
      </c>
      <c r="B153" s="503">
        <v>20.918626282544409</v>
      </c>
      <c r="C153" s="518">
        <f t="shared" si="7"/>
        <v>6862.9185156871945</v>
      </c>
      <c r="D153" s="504">
        <f t="shared" ref="D153:D173" si="8">$B$19*B153/21</f>
        <v>663.61851568719453</v>
      </c>
    </row>
    <row r="154" spans="1:4" x14ac:dyDescent="0.3">
      <c r="A154" s="502">
        <f t="shared" si="6"/>
        <v>131</v>
      </c>
      <c r="B154" s="503">
        <v>20.797807830032678</v>
      </c>
      <c r="C154" s="518">
        <f t="shared" si="7"/>
        <v>6859.0856941127513</v>
      </c>
      <c r="D154" s="504">
        <f t="shared" si="8"/>
        <v>659.785694112751</v>
      </c>
    </row>
    <row r="155" spans="1:4" x14ac:dyDescent="0.3">
      <c r="A155" s="502">
        <f t="shared" si="6"/>
        <v>132</v>
      </c>
      <c r="B155" s="503">
        <v>20.678626133258913</v>
      </c>
      <c r="C155" s="518">
        <f t="shared" si="7"/>
        <v>6855.3047966655759</v>
      </c>
      <c r="D155" s="504">
        <f t="shared" si="8"/>
        <v>656.00479666557567</v>
      </c>
    </row>
    <row r="156" spans="1:4" x14ac:dyDescent="0.3">
      <c r="A156" s="502">
        <f t="shared" si="6"/>
        <v>133</v>
      </c>
      <c r="B156" s="503">
        <v>20.561047408805948</v>
      </c>
      <c r="C156" s="518">
        <f t="shared" si="7"/>
        <v>6851.5747516069778</v>
      </c>
      <c r="D156" s="504">
        <f t="shared" si="8"/>
        <v>652.27475160697736</v>
      </c>
    </row>
    <row r="157" spans="1:4" x14ac:dyDescent="0.3">
      <c r="A157" s="502">
        <f t="shared" si="6"/>
        <v>134</v>
      </c>
      <c r="B157" s="503">
        <v>20.445038797769389</v>
      </c>
      <c r="C157" s="518">
        <f t="shared" si="7"/>
        <v>6847.8945165273317</v>
      </c>
      <c r="D157" s="504">
        <f t="shared" si="8"/>
        <v>648.59451652733173</v>
      </c>
    </row>
    <row r="158" spans="1:4" x14ac:dyDescent="0.3">
      <c r="A158" s="502">
        <f t="shared" si="6"/>
        <v>135</v>
      </c>
      <c r="B158" s="503">
        <v>20.330568334466534</v>
      </c>
      <c r="C158" s="518">
        <f t="shared" si="7"/>
        <v>6844.2630773534102</v>
      </c>
      <c r="D158" s="504">
        <f t="shared" si="8"/>
        <v>644.96307735340974</v>
      </c>
    </row>
    <row r="159" spans="1:4" x14ac:dyDescent="0.3">
      <c r="A159" s="502">
        <f t="shared" si="6"/>
        <v>136</v>
      </c>
      <c r="B159" s="503">
        <v>20.217604916390414</v>
      </c>
      <c r="C159" s="518">
        <f t="shared" si="7"/>
        <v>6840.679447395205</v>
      </c>
      <c r="D159" s="504">
        <f t="shared" si="8"/>
        <v>641.37944739520447</v>
      </c>
    </row>
    <row r="160" spans="1:4" x14ac:dyDescent="0.3">
      <c r="A160" s="502">
        <f t="shared" si="6"/>
        <v>137</v>
      </c>
      <c r="B160" s="503">
        <v>20.106118275353072</v>
      </c>
      <c r="C160" s="518">
        <f t="shared" si="7"/>
        <v>6837.1426664304872</v>
      </c>
      <c r="D160" s="504">
        <f t="shared" si="8"/>
        <v>637.84266643048659</v>
      </c>
    </row>
    <row r="161" spans="1:4" x14ac:dyDescent="0.3">
      <c r="A161" s="502">
        <f t="shared" si="6"/>
        <v>138</v>
      </c>
      <c r="B161" s="503">
        <v>19.996078949764946</v>
      </c>
      <c r="C161" s="518">
        <f t="shared" si="7"/>
        <v>6833.6517998254003</v>
      </c>
      <c r="D161" s="504">
        <f t="shared" si="8"/>
        <v>634.35179982540046</v>
      </c>
    </row>
    <row r="162" spans="1:4" x14ac:dyDescent="0.3">
      <c r="A162" s="502">
        <f t="shared" si="6"/>
        <v>139</v>
      </c>
      <c r="B162" s="503">
        <v>19.887458257999917</v>
      </c>
      <c r="C162" s="518">
        <f t="shared" si="7"/>
        <v>6830.2059376895022</v>
      </c>
      <c r="D162" s="504">
        <f t="shared" si="8"/>
        <v>630.90593768950225</v>
      </c>
    </row>
    <row r="163" spans="1:4" x14ac:dyDescent="0.3">
      <c r="A163" s="502">
        <f t="shared" si="6"/>
        <v>140</v>
      </c>
      <c r="B163" s="503">
        <v>19.780228272797874</v>
      </c>
      <c r="C163" s="518">
        <f t="shared" si="7"/>
        <v>6826.8041940637122</v>
      </c>
      <c r="D163" s="504">
        <f t="shared" si="8"/>
        <v>627.50419406371168</v>
      </c>
    </row>
    <row r="164" spans="1:4" x14ac:dyDescent="0.3">
      <c r="A164" s="502">
        <f t="shared" si="6"/>
        <v>141</v>
      </c>
      <c r="B164" s="503">
        <v>19.674361796659063</v>
      </c>
      <c r="C164" s="518">
        <f t="shared" si="7"/>
        <v>6823.445706139727</v>
      </c>
      <c r="D164" s="504">
        <f t="shared" si="8"/>
        <v>624.14570613972705</v>
      </c>
    </row>
    <row r="165" spans="1:4" x14ac:dyDescent="0.3">
      <c r="A165" s="502">
        <f t="shared" si="6"/>
        <v>142</v>
      </c>
      <c r="B165" s="503">
        <v>19.569832338186682</v>
      </c>
      <c r="C165" s="518">
        <f t="shared" si="7"/>
        <v>6820.1296335095221</v>
      </c>
      <c r="D165" s="504">
        <f t="shared" si="8"/>
        <v>620.8296335095223</v>
      </c>
    </row>
    <row r="166" spans="1:4" x14ac:dyDescent="0.3">
      <c r="A166" s="502">
        <f t="shared" si="6"/>
        <v>143</v>
      </c>
      <c r="B166" s="503">
        <v>19.466614089336204</v>
      </c>
      <c r="C166" s="518">
        <f t="shared" si="7"/>
        <v>6816.8551574436087</v>
      </c>
      <c r="D166" s="504">
        <f t="shared" si="8"/>
        <v>617.55515744360855</v>
      </c>
    </row>
    <row r="167" spans="1:4" x14ac:dyDescent="0.3">
      <c r="A167" s="502">
        <f t="shared" si="6"/>
        <v>144</v>
      </c>
      <c r="B167" s="503">
        <v>19.364681903532066</v>
      </c>
      <c r="C167" s="518">
        <f t="shared" si="7"/>
        <v>6813.6214801968126</v>
      </c>
      <c r="D167" s="504">
        <f t="shared" si="8"/>
        <v>614.32148019681256</v>
      </c>
    </row>
    <row r="168" spans="1:4" x14ac:dyDescent="0.3">
      <c r="A168" s="502">
        <f t="shared" si="6"/>
        <v>145</v>
      </c>
      <c r="B168" s="503">
        <v>19.264011274613996</v>
      </c>
      <c r="C168" s="518">
        <f t="shared" si="7"/>
        <v>6810.4278243403733</v>
      </c>
      <c r="D168" s="504">
        <f t="shared" si="8"/>
        <v>611.12782434037354</v>
      </c>
    </row>
    <row r="169" spans="1:4" x14ac:dyDescent="0.3">
      <c r="A169" s="502">
        <f t="shared" si="6"/>
        <v>146</v>
      </c>
      <c r="B169" s="503">
        <v>19.164578316577277</v>
      </c>
      <c r="C169" s="518">
        <f t="shared" si="7"/>
        <v>6807.2734321192274</v>
      </c>
      <c r="D169" s="504">
        <f t="shared" si="8"/>
        <v>607.97343211922771</v>
      </c>
    </row>
    <row r="170" spans="1:4" x14ac:dyDescent="0.3">
      <c r="A170" s="502">
        <f t="shared" si="6"/>
        <v>147</v>
      </c>
      <c r="B170" s="503">
        <v>19.066359744072834</v>
      </c>
      <c r="C170" s="518">
        <f t="shared" si="7"/>
        <v>6804.1575648333965</v>
      </c>
      <c r="D170" s="504">
        <f t="shared" si="8"/>
        <v>604.85756483339628</v>
      </c>
    </row>
    <row r="171" spans="1:4" x14ac:dyDescent="0.3">
      <c r="A171" s="502">
        <f t="shared" si="6"/>
        <v>148</v>
      </c>
      <c r="B171" s="503">
        <v>18.969332853634562</v>
      </c>
      <c r="C171" s="518">
        <f t="shared" si="7"/>
        <v>6801.0795022424454</v>
      </c>
      <c r="D171" s="504">
        <f t="shared" si="8"/>
        <v>601.77950224244501</v>
      </c>
    </row>
    <row r="172" spans="1:4" x14ac:dyDescent="0.3">
      <c r="A172" s="502">
        <f t="shared" si="6"/>
        <v>149</v>
      </c>
      <c r="B172" s="503">
        <v>18.873475505603114</v>
      </c>
      <c r="C172" s="518">
        <f t="shared" si="7"/>
        <v>6798.0385419920385</v>
      </c>
      <c r="D172" s="504">
        <f t="shared" si="8"/>
        <v>598.73854199203788</v>
      </c>
    </row>
    <row r="173" spans="1:4" ht="14.4" thickBot="1" x14ac:dyDescent="0.35">
      <c r="A173" s="514">
        <f t="shared" si="6"/>
        <v>150</v>
      </c>
      <c r="B173" s="515">
        <v>18.778766106716375</v>
      </c>
      <c r="C173" s="519">
        <f t="shared" si="7"/>
        <v>6795.0339990616403</v>
      </c>
      <c r="D173" s="516">
        <f t="shared" si="8"/>
        <v>595.73399906164047</v>
      </c>
    </row>
  </sheetData>
  <sheetProtection password="B467" sheet="1" objects="1" scenarios="1"/>
  <mergeCells count="2">
    <mergeCell ref="F3:I3"/>
    <mergeCell ref="K45:M48"/>
  </mergeCells>
  <pageMargins left="0.7" right="0.7" top="0.75" bottom="0.75" header="0.3" footer="0.3"/>
  <pageSetup orientation="portrait" verticalDpi="0" r:id="rId1"/>
  <ignoredErrors>
    <ignoredError sqref="I36 I10 I12 I18 I20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7030A0"/>
  </sheetPr>
  <dimension ref="A14:A30"/>
  <sheetViews>
    <sheetView workbookViewId="0">
      <selection activeCell="E29" sqref="E29"/>
    </sheetView>
  </sheetViews>
  <sheetFormatPr defaultColWidth="9" defaultRowHeight="13.8" x14ac:dyDescent="0.3"/>
  <cols>
    <col min="1" max="7" width="14.453125" style="297" customWidth="1"/>
    <col min="8" max="16384" width="9" style="297"/>
  </cols>
  <sheetData>
    <row r="14" spans="1:1" ht="14.4" x14ac:dyDescent="0.3">
      <c r="A14" s="296"/>
    </row>
    <row r="15" spans="1:1" ht="14.4" x14ac:dyDescent="0.3">
      <c r="A15" s="296"/>
    </row>
    <row r="16" spans="1:1" ht="14.4" x14ac:dyDescent="0.3">
      <c r="A16" s="296"/>
    </row>
    <row r="17" spans="1:1" ht="14.4" x14ac:dyDescent="0.3">
      <c r="A17" s="296"/>
    </row>
    <row r="18" spans="1:1" ht="14.4" x14ac:dyDescent="0.3">
      <c r="A18" s="296"/>
    </row>
    <row r="19" spans="1:1" ht="14.4" x14ac:dyDescent="0.3">
      <c r="A19" s="296"/>
    </row>
    <row r="20" spans="1:1" ht="14.4" x14ac:dyDescent="0.3">
      <c r="A20" s="296"/>
    </row>
    <row r="22" spans="1:1" ht="14.4" x14ac:dyDescent="0.3">
      <c r="A22" s="296"/>
    </row>
    <row r="23" spans="1:1" ht="14.4" x14ac:dyDescent="0.3">
      <c r="A23" s="296"/>
    </row>
    <row r="24" spans="1:1" ht="14.4" x14ac:dyDescent="0.3">
      <c r="A24" s="296"/>
    </row>
    <row r="25" spans="1:1" ht="14.4" x14ac:dyDescent="0.3">
      <c r="A25" s="296"/>
    </row>
    <row r="26" spans="1:1" ht="14.4" x14ac:dyDescent="0.3">
      <c r="A26" s="296"/>
    </row>
    <row r="27" spans="1:1" ht="14.4" x14ac:dyDescent="0.3">
      <c r="A27" s="296"/>
    </row>
    <row r="28" spans="1:1" ht="14.4" x14ac:dyDescent="0.3">
      <c r="A28" s="296"/>
    </row>
    <row r="30" spans="1:1" x14ac:dyDescent="0.3">
      <c r="A30" s="298"/>
    </row>
  </sheetData>
  <sheetProtection password="B467" sheet="1" objects="1" scenarios="1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C00000"/>
  </sheetPr>
  <dimension ref="A1:AC335"/>
  <sheetViews>
    <sheetView zoomScale="87" zoomScaleNormal="87" workbookViewId="0">
      <selection activeCell="V17" sqref="V17"/>
    </sheetView>
  </sheetViews>
  <sheetFormatPr defaultColWidth="9" defaultRowHeight="14.4" x14ac:dyDescent="0.3"/>
  <cols>
    <col min="1" max="1" width="1.36328125" style="314" customWidth="1"/>
    <col min="2" max="2" width="1.36328125" style="1" customWidth="1"/>
    <col min="3" max="3" width="1.90625" style="1" customWidth="1"/>
    <col min="4" max="4" width="21.453125" style="1" customWidth="1"/>
    <col min="5" max="5" width="16" style="1" customWidth="1"/>
    <col min="6" max="6" width="16.08984375" style="1" customWidth="1"/>
    <col min="7" max="7" width="14.7265625" style="1" customWidth="1"/>
    <col min="8" max="8" width="13.453125" style="1" customWidth="1"/>
    <col min="9" max="9" width="13.7265625" style="1" customWidth="1"/>
    <col min="10" max="10" width="1.453125" style="1" customWidth="1"/>
    <col min="11" max="11" width="1.7265625" style="314" customWidth="1"/>
    <col min="12" max="12" width="2.90625" style="1" customWidth="1"/>
    <col min="13" max="13" width="3.7265625" style="1" customWidth="1"/>
    <col min="14" max="14" width="17.6328125" style="1" customWidth="1"/>
    <col min="15" max="18" width="11" style="1" customWidth="1"/>
    <col min="19" max="19" width="3" style="1" customWidth="1"/>
    <col min="20" max="20" width="4.08984375" style="314" customWidth="1"/>
    <col min="21" max="21" width="3.7265625" style="314" customWidth="1"/>
    <col min="22" max="29" width="9" style="314"/>
    <col min="30" max="16384" width="9" style="1"/>
  </cols>
  <sheetData>
    <row r="1" spans="1:29" s="314" customFormat="1" ht="6.75" customHeight="1" thickBot="1" x14ac:dyDescent="0.35">
      <c r="N1" s="316"/>
      <c r="P1" s="316"/>
    </row>
    <row r="2" spans="1:29" ht="42" customHeight="1" thickBot="1" x14ac:dyDescent="0.35">
      <c r="B2" s="22"/>
      <c r="C2" s="66" t="s">
        <v>400</v>
      </c>
      <c r="D2" s="23"/>
      <c r="E2" s="23"/>
      <c r="F2" s="23"/>
      <c r="G2" s="23"/>
      <c r="H2" s="23"/>
      <c r="I2" s="23"/>
      <c r="J2" s="77"/>
      <c r="L2" s="314"/>
      <c r="M2" s="314"/>
      <c r="N2" s="314"/>
      <c r="O2" s="314"/>
      <c r="P2" s="314"/>
      <c r="Q2" s="314"/>
      <c r="R2" s="314"/>
      <c r="S2" s="314"/>
    </row>
    <row r="3" spans="1:29" ht="18" customHeight="1" x14ac:dyDescent="0.3">
      <c r="B3" s="24"/>
      <c r="C3" s="42"/>
      <c r="D3" s="21"/>
      <c r="E3" s="598" t="s">
        <v>131</v>
      </c>
      <c r="F3" s="599"/>
      <c r="G3" s="600"/>
      <c r="H3" s="21"/>
      <c r="I3" s="21"/>
      <c r="J3" s="25"/>
      <c r="L3" s="314"/>
      <c r="M3" s="314"/>
      <c r="N3" s="314"/>
      <c r="O3" s="314"/>
      <c r="P3" s="314"/>
      <c r="Q3" s="314"/>
      <c r="R3" s="314"/>
      <c r="S3" s="314"/>
    </row>
    <row r="4" spans="1:29" ht="18" customHeight="1" x14ac:dyDescent="0.3">
      <c r="B4" s="24"/>
      <c r="C4" s="42"/>
      <c r="D4" s="21"/>
      <c r="E4" s="601" t="s">
        <v>90</v>
      </c>
      <c r="F4" s="602"/>
      <c r="G4" s="43"/>
      <c r="H4" s="21"/>
      <c r="I4" s="21"/>
      <c r="J4" s="25"/>
      <c r="L4" s="314"/>
      <c r="M4" s="314"/>
      <c r="N4" s="314"/>
      <c r="O4" s="314"/>
      <c r="P4" s="314"/>
      <c r="Q4" s="314"/>
      <c r="R4" s="314"/>
      <c r="S4" s="314"/>
    </row>
    <row r="5" spans="1:29" ht="18" customHeight="1" thickBot="1" x14ac:dyDescent="0.35">
      <c r="B5" s="24"/>
      <c r="C5" s="28" t="s">
        <v>91</v>
      </c>
      <c r="D5" s="21"/>
      <c r="E5" s="44" t="s">
        <v>44</v>
      </c>
      <c r="F5" s="46"/>
      <c r="G5" s="43"/>
      <c r="H5" s="21"/>
      <c r="I5" s="21"/>
      <c r="J5" s="25"/>
      <c r="L5" s="314"/>
      <c r="M5" s="314"/>
      <c r="N5" s="314"/>
      <c r="O5" s="314"/>
      <c r="P5" s="314"/>
      <c r="Q5" s="314"/>
      <c r="R5" s="314"/>
      <c r="S5" s="314"/>
    </row>
    <row r="6" spans="1:29" ht="33.75" customHeight="1" thickBot="1" x14ac:dyDescent="0.35">
      <c r="B6" s="24"/>
      <c r="C6" s="48"/>
      <c r="D6" s="65"/>
      <c r="E6" s="45" t="s">
        <v>83</v>
      </c>
      <c r="F6" s="300" t="s">
        <v>293</v>
      </c>
      <c r="G6" s="47" t="s">
        <v>84</v>
      </c>
      <c r="H6" s="41" t="s">
        <v>85</v>
      </c>
      <c r="I6" s="26"/>
      <c r="J6" s="25"/>
      <c r="L6" s="314"/>
      <c r="M6" s="314"/>
      <c r="N6" s="314"/>
      <c r="O6" s="314"/>
      <c r="P6" s="314"/>
      <c r="Q6" s="314"/>
      <c r="R6" s="314"/>
      <c r="S6" s="314"/>
    </row>
    <row r="7" spans="1:29" ht="22.5" customHeight="1" x14ac:dyDescent="0.3">
      <c r="B7" s="24"/>
      <c r="C7" s="21"/>
      <c r="D7" s="78" t="s">
        <v>116</v>
      </c>
      <c r="E7" s="70">
        <v>0.02</v>
      </c>
      <c r="F7" s="60">
        <v>3.0000000000000001E-3</v>
      </c>
      <c r="G7" s="71">
        <v>5.0000000000000001E-3</v>
      </c>
      <c r="H7" s="61">
        <f>'Methane Leakage'!G5</f>
        <v>2.8000000000000001E-2</v>
      </c>
      <c r="I7" s="54"/>
      <c r="J7" s="25"/>
      <c r="L7" s="314"/>
      <c r="M7" s="314"/>
      <c r="N7" s="314"/>
      <c r="O7" s="314"/>
      <c r="P7" s="314"/>
      <c r="Q7" s="314"/>
      <c r="R7" s="314"/>
      <c r="S7" s="314"/>
    </row>
    <row r="8" spans="1:29" ht="22.5" customHeight="1" thickBot="1" x14ac:dyDescent="0.35">
      <c r="B8" s="24"/>
      <c r="C8" s="21"/>
      <c r="D8" s="79" t="s">
        <v>132</v>
      </c>
      <c r="E8" s="72">
        <v>0.02</v>
      </c>
      <c r="F8" s="62">
        <v>3.0000000000000001E-3</v>
      </c>
      <c r="G8" s="73">
        <v>5.0000000000000001E-3</v>
      </c>
      <c r="H8" s="63">
        <f>'Methane Leakage'!G6</f>
        <v>2.8000000000000001E-2</v>
      </c>
      <c r="I8" s="54"/>
      <c r="J8" s="25"/>
      <c r="L8" s="314"/>
      <c r="M8" s="314"/>
      <c r="N8" s="314"/>
      <c r="O8" s="314"/>
      <c r="P8" s="314"/>
      <c r="Q8" s="314"/>
      <c r="R8" s="314"/>
      <c r="S8" s="314"/>
    </row>
    <row r="9" spans="1:29" ht="39.75" customHeight="1" x14ac:dyDescent="0.3">
      <c r="B9" s="24"/>
      <c r="C9" s="21"/>
      <c r="D9" s="603" t="s">
        <v>296</v>
      </c>
      <c r="E9" s="603"/>
      <c r="F9" s="603"/>
      <c r="G9" s="603"/>
      <c r="H9" s="603"/>
      <c r="I9" s="53"/>
      <c r="J9" s="25"/>
      <c r="L9" s="314"/>
      <c r="M9" s="314"/>
      <c r="N9" s="314"/>
      <c r="O9" s="314"/>
      <c r="P9" s="314"/>
      <c r="Q9" s="314"/>
      <c r="R9" s="314"/>
      <c r="S9" s="314"/>
    </row>
    <row r="10" spans="1:29" ht="7.5" customHeight="1" x14ac:dyDescent="0.3">
      <c r="B10" s="24"/>
      <c r="C10" s="21"/>
      <c r="D10" s="48"/>
      <c r="E10" s="49"/>
      <c r="F10" s="49"/>
      <c r="G10" s="49"/>
      <c r="H10" s="49"/>
      <c r="I10" s="49"/>
      <c r="J10" s="25"/>
      <c r="L10" s="314"/>
      <c r="M10" s="314"/>
      <c r="N10" s="314"/>
      <c r="O10" s="314"/>
      <c r="P10" s="314"/>
      <c r="Q10" s="314"/>
      <c r="R10" s="314"/>
      <c r="S10" s="314"/>
    </row>
    <row r="11" spans="1:29" ht="34.5" customHeight="1" x14ac:dyDescent="0.3">
      <c r="B11" s="24"/>
      <c r="C11" s="604" t="s">
        <v>393</v>
      </c>
      <c r="D11" s="605"/>
      <c r="E11" s="605"/>
      <c r="F11" s="605"/>
      <c r="G11" s="605"/>
      <c r="H11" s="605"/>
      <c r="I11" s="606"/>
      <c r="J11" s="25"/>
      <c r="L11" s="314"/>
      <c r="M11" s="314"/>
      <c r="N11" s="314"/>
      <c r="O11" s="314"/>
      <c r="P11" s="314"/>
      <c r="Q11" s="314"/>
      <c r="R11" s="314"/>
      <c r="S11" s="314"/>
    </row>
    <row r="12" spans="1:29" ht="36" customHeight="1" x14ac:dyDescent="0.3">
      <c r="B12" s="24"/>
      <c r="C12" s="607"/>
      <c r="D12" s="608"/>
      <c r="E12" s="608"/>
      <c r="F12" s="608"/>
      <c r="G12" s="608"/>
      <c r="H12" s="608"/>
      <c r="I12" s="609"/>
      <c r="J12" s="25"/>
      <c r="L12" s="314"/>
      <c r="M12" s="314"/>
      <c r="N12" s="314"/>
      <c r="O12" s="314"/>
      <c r="P12" s="314"/>
      <c r="Q12" s="314"/>
      <c r="R12" s="314"/>
      <c r="S12" s="314"/>
    </row>
    <row r="13" spans="1:29" ht="15.75" customHeight="1" x14ac:dyDescent="0.3">
      <c r="B13" s="24"/>
      <c r="C13" s="21"/>
      <c r="D13" s="39"/>
      <c r="E13" s="40"/>
      <c r="F13" s="21"/>
      <c r="G13" s="21"/>
      <c r="H13" s="21"/>
      <c r="I13" s="21"/>
      <c r="J13" s="25"/>
      <c r="L13" s="314"/>
      <c r="M13" s="314"/>
      <c r="N13" s="314"/>
      <c r="O13" s="314"/>
      <c r="P13" s="314"/>
      <c r="Q13" s="314"/>
      <c r="R13" s="314"/>
      <c r="S13" s="314"/>
    </row>
    <row r="14" spans="1:29" ht="18" customHeight="1" thickBot="1" x14ac:dyDescent="0.35">
      <c r="B14" s="24"/>
      <c r="C14" s="247" t="s">
        <v>401</v>
      </c>
      <c r="D14" s="246"/>
      <c r="E14" s="21"/>
      <c r="F14" s="21"/>
      <c r="G14" s="21"/>
      <c r="H14" s="21"/>
      <c r="I14" s="21"/>
      <c r="J14" s="25"/>
      <c r="L14" s="314"/>
      <c r="M14" s="314"/>
      <c r="N14" s="317"/>
      <c r="O14" s="314"/>
      <c r="P14" s="314"/>
      <c r="Q14" s="318"/>
      <c r="R14" s="314"/>
      <c r="S14" s="314"/>
    </row>
    <row r="15" spans="1:29" s="3" customFormat="1" ht="33.75" customHeight="1" thickBot="1" x14ac:dyDescent="0.4">
      <c r="A15" s="315"/>
      <c r="B15" s="27"/>
      <c r="C15" s="21"/>
      <c r="D15" s="75" t="s">
        <v>402</v>
      </c>
      <c r="E15" s="526" t="s">
        <v>382</v>
      </c>
      <c r="F15" s="12" t="s">
        <v>51</v>
      </c>
      <c r="G15" s="51"/>
      <c r="H15" s="610" t="s">
        <v>265</v>
      </c>
      <c r="I15" s="610"/>
      <c r="J15" s="29"/>
      <c r="K15" s="315"/>
      <c r="L15" s="242"/>
      <c r="M15" s="243" t="s">
        <v>295</v>
      </c>
      <c r="N15" s="244"/>
      <c r="O15" s="244"/>
      <c r="P15" s="244"/>
      <c r="Q15" s="244"/>
      <c r="R15" s="244"/>
      <c r="S15" s="24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</row>
    <row r="16" spans="1:29" ht="26.25" customHeight="1" thickBot="1" x14ac:dyDescent="0.35">
      <c r="B16" s="24"/>
      <c r="C16" s="21"/>
      <c r="D16" s="13" t="s">
        <v>109</v>
      </c>
      <c r="E16" s="15">
        <f>'TPWP Scenario Outputs'!$N$3</f>
        <v>0.46</v>
      </c>
      <c r="F16" s="16">
        <f>IF((1-(F17+F18))&gt;=0,1-(F17+F18),"ERROR")</f>
        <v>0.45999999999999996</v>
      </c>
      <c r="G16" s="48"/>
      <c r="H16" s="324" t="s">
        <v>382</v>
      </c>
      <c r="I16" s="299" t="s">
        <v>294</v>
      </c>
      <c r="J16" s="25"/>
      <c r="L16" s="4"/>
      <c r="M16" s="589" t="s">
        <v>384</v>
      </c>
      <c r="N16" s="589"/>
      <c r="O16" s="589"/>
      <c r="P16" s="589"/>
      <c r="Q16" s="589"/>
      <c r="R16" s="589"/>
      <c r="S16" s="6"/>
    </row>
    <row r="17" spans="2:19" ht="24" customHeight="1" thickBot="1" x14ac:dyDescent="0.35">
      <c r="B17" s="24"/>
      <c r="C17" s="21"/>
      <c r="D17" s="32" t="s">
        <v>110</v>
      </c>
      <c r="E17" s="20">
        <f>'TPWP Scenario Outputs'!$M$3</f>
        <v>0.24</v>
      </c>
      <c r="F17" s="249">
        <v>0.24</v>
      </c>
      <c r="G17" s="248" t="s">
        <v>118</v>
      </c>
      <c r="H17" s="240">
        <v>10415</v>
      </c>
      <c r="I17" s="80">
        <v>10415</v>
      </c>
      <c r="J17" s="25"/>
      <c r="L17" s="4"/>
      <c r="M17" s="589"/>
      <c r="N17" s="589"/>
      <c r="O17" s="589"/>
      <c r="P17" s="589"/>
      <c r="Q17" s="589"/>
      <c r="R17" s="589"/>
      <c r="S17" s="6"/>
    </row>
    <row r="18" spans="2:19" ht="24" customHeight="1" thickBot="1" x14ac:dyDescent="0.35">
      <c r="B18" s="24"/>
      <c r="C18" s="21"/>
      <c r="D18" s="14" t="s">
        <v>264</v>
      </c>
      <c r="E18" s="17">
        <f>1-(E17+E16)</f>
        <v>0.30000000000000004</v>
      </c>
      <c r="F18" s="250">
        <v>0.3</v>
      </c>
      <c r="G18" s="52" t="s">
        <v>114</v>
      </c>
      <c r="H18" s="241">
        <v>8185</v>
      </c>
      <c r="I18" s="81">
        <v>8185</v>
      </c>
      <c r="J18" s="25"/>
      <c r="L18" s="4"/>
      <c r="M18" s="593"/>
      <c r="N18" s="5"/>
      <c r="O18" s="590" t="s">
        <v>297</v>
      </c>
      <c r="P18" s="591"/>
      <c r="Q18" s="591"/>
      <c r="R18" s="592"/>
      <c r="S18" s="6"/>
    </row>
    <row r="19" spans="2:19" ht="24" customHeight="1" thickBot="1" x14ac:dyDescent="0.35">
      <c r="B19" s="24"/>
      <c r="C19" s="28"/>
      <c r="D19" s="75" t="s">
        <v>403</v>
      </c>
      <c r="E19" s="21"/>
      <c r="F19" s="21"/>
      <c r="G19" s="48"/>
      <c r="H19" s="594" t="s">
        <v>266</v>
      </c>
      <c r="I19" s="594"/>
      <c r="J19" s="25"/>
      <c r="L19" s="4"/>
      <c r="M19" s="593"/>
      <c r="N19" s="5"/>
      <c r="O19" s="33" t="s">
        <v>56</v>
      </c>
      <c r="P19" s="33" t="s">
        <v>57</v>
      </c>
      <c r="Q19" s="33" t="s">
        <v>58</v>
      </c>
      <c r="R19" s="34" t="s">
        <v>59</v>
      </c>
      <c r="S19" s="6"/>
    </row>
    <row r="20" spans="2:19" ht="24" customHeight="1" x14ac:dyDescent="0.3">
      <c r="B20" s="24"/>
      <c r="C20" s="21"/>
      <c r="D20" s="13" t="s">
        <v>111</v>
      </c>
      <c r="E20" s="16">
        <v>0.97</v>
      </c>
      <c r="F20" s="16">
        <f>1-F21</f>
        <v>0.97</v>
      </c>
      <c r="G20" s="38"/>
      <c r="H20" s="595"/>
      <c r="I20" s="595"/>
      <c r="J20" s="25"/>
      <c r="L20" s="4"/>
      <c r="M20" s="588"/>
      <c r="N20" s="35" t="s">
        <v>44</v>
      </c>
      <c r="O20" s="550">
        <f>'Final Outputs'!C20</f>
        <v>0</v>
      </c>
      <c r="P20" s="550">
        <f>'Final Outputs'!C25</f>
        <v>0</v>
      </c>
      <c r="Q20" s="550">
        <f>'Final Outputs'!C55</f>
        <v>0</v>
      </c>
      <c r="R20" s="550">
        <f>'Final Outputs'!C105</f>
        <v>0</v>
      </c>
      <c r="S20" s="18"/>
    </row>
    <row r="21" spans="2:19" ht="24" customHeight="1" thickBot="1" x14ac:dyDescent="0.35">
      <c r="B21" s="24"/>
      <c r="C21" s="21"/>
      <c r="D21" s="14" t="s">
        <v>110</v>
      </c>
      <c r="E21" s="17">
        <v>0.03</v>
      </c>
      <c r="F21" s="2">
        <v>0.03</v>
      </c>
      <c r="G21" s="38"/>
      <c r="H21" s="53"/>
      <c r="I21" s="53"/>
      <c r="J21" s="30"/>
      <c r="L21" s="4"/>
      <c r="M21" s="588"/>
      <c r="N21" s="36" t="s">
        <v>52</v>
      </c>
      <c r="O21" s="551">
        <f>'Final Outputs'!E20</f>
        <v>0</v>
      </c>
      <c r="P21" s="551">
        <f>'Final Outputs'!E25</f>
        <v>0</v>
      </c>
      <c r="Q21" s="551">
        <f>'Final Outputs'!E55</f>
        <v>0</v>
      </c>
      <c r="R21" s="551">
        <f>'Final Outputs'!E105</f>
        <v>0</v>
      </c>
      <c r="S21" s="19"/>
    </row>
    <row r="22" spans="2:19" ht="24" customHeight="1" thickBot="1" x14ac:dyDescent="0.35">
      <c r="B22" s="24"/>
      <c r="C22" s="21"/>
      <c r="D22" s="75" t="s">
        <v>53</v>
      </c>
      <c r="E22" s="21"/>
      <c r="F22" s="21"/>
      <c r="G22" s="21"/>
      <c r="H22" s="53"/>
      <c r="I22" s="53"/>
      <c r="J22" s="25"/>
      <c r="L22" s="4"/>
      <c r="M22" s="588"/>
      <c r="N22" s="36" t="s">
        <v>53</v>
      </c>
      <c r="O22" s="551">
        <f>'Final Outputs'!G20</f>
        <v>0</v>
      </c>
      <c r="P22" s="551">
        <f>'Final Outputs'!G25</f>
        <v>0</v>
      </c>
      <c r="Q22" s="551">
        <f>'Final Outputs'!G55</f>
        <v>0</v>
      </c>
      <c r="R22" s="551">
        <f>'Final Outputs'!G105</f>
        <v>0</v>
      </c>
      <c r="S22" s="19"/>
    </row>
    <row r="23" spans="2:19" ht="24" customHeight="1" thickBot="1" x14ac:dyDescent="0.35">
      <c r="B23" s="24"/>
      <c r="C23" s="21"/>
      <c r="D23" s="13" t="s">
        <v>112</v>
      </c>
      <c r="E23" s="16">
        <v>0.97</v>
      </c>
      <c r="F23" s="16">
        <f>1-F24</f>
        <v>0.97</v>
      </c>
      <c r="G23" s="38"/>
      <c r="H23" s="76"/>
      <c r="I23" s="38"/>
      <c r="J23" s="25"/>
      <c r="L23" s="4"/>
      <c r="M23" s="588"/>
      <c r="N23" s="50" t="s">
        <v>113</v>
      </c>
      <c r="O23" s="552">
        <f>'Final Outputs'!H20</f>
        <v>0</v>
      </c>
      <c r="P23" s="552">
        <f>'Final Outputs'!H25</f>
        <v>0</v>
      </c>
      <c r="Q23" s="552">
        <f>'Final Outputs'!H55</f>
        <v>0</v>
      </c>
      <c r="R23" s="552">
        <f>'Final Outputs'!H105</f>
        <v>0</v>
      </c>
      <c r="S23" s="6"/>
    </row>
    <row r="24" spans="2:19" ht="24" customHeight="1" thickBot="1" x14ac:dyDescent="0.35">
      <c r="B24" s="24"/>
      <c r="C24" s="21"/>
      <c r="D24" s="14" t="s">
        <v>110</v>
      </c>
      <c r="E24" s="17">
        <v>0.03</v>
      </c>
      <c r="F24" s="2">
        <v>0.03</v>
      </c>
      <c r="G24" s="38"/>
      <c r="H24" s="76"/>
      <c r="I24" s="38"/>
      <c r="J24" s="25"/>
      <c r="L24" s="4"/>
      <c r="M24" s="5"/>
      <c r="N24" s="37" t="s">
        <v>61</v>
      </c>
      <c r="O24" s="553">
        <f>'Final Outputs'!I20</f>
        <v>0</v>
      </c>
      <c r="P24" s="553">
        <f>'Final Outputs'!I25</f>
        <v>0</v>
      </c>
      <c r="Q24" s="553">
        <f>'Final Outputs'!I55</f>
        <v>0</v>
      </c>
      <c r="R24" s="553">
        <f>'Final Outputs'!I105</f>
        <v>0</v>
      </c>
      <c r="S24" s="19"/>
    </row>
    <row r="25" spans="2:19" ht="55.5" customHeight="1" x14ac:dyDescent="0.3">
      <c r="B25" s="24"/>
      <c r="C25" s="21"/>
      <c r="D25" s="585" t="s">
        <v>399</v>
      </c>
      <c r="E25" s="586"/>
      <c r="F25" s="586"/>
      <c r="G25" s="586"/>
      <c r="H25" s="586"/>
      <c r="I25" s="64"/>
      <c r="J25" s="25"/>
      <c r="L25" s="4"/>
      <c r="M25" s="31"/>
      <c r="N25" s="596" t="s">
        <v>391</v>
      </c>
      <c r="O25" s="596"/>
      <c r="P25" s="596"/>
      <c r="Q25" s="596"/>
      <c r="R25" s="596"/>
      <c r="S25" s="68"/>
    </row>
    <row r="26" spans="2:19" ht="16.5" customHeight="1" thickBot="1" x14ac:dyDescent="0.35">
      <c r="B26" s="9"/>
      <c r="C26" s="10"/>
      <c r="D26" s="587"/>
      <c r="E26" s="587"/>
      <c r="F26" s="587"/>
      <c r="G26" s="587"/>
      <c r="H26" s="587"/>
      <c r="I26" s="10"/>
      <c r="J26" s="11"/>
      <c r="L26" s="7"/>
      <c r="M26" s="8"/>
      <c r="N26" s="597"/>
      <c r="O26" s="597"/>
      <c r="P26" s="597"/>
      <c r="Q26" s="597"/>
      <c r="R26" s="597"/>
      <c r="S26" s="69"/>
    </row>
    <row r="27" spans="2:19" s="314" customFormat="1" x14ac:dyDescent="0.3"/>
    <row r="28" spans="2:19" s="314" customFormat="1" ht="23.25" customHeight="1" x14ac:dyDescent="0.3"/>
    <row r="29" spans="2:19" s="314" customFormat="1" ht="23.25" customHeight="1" x14ac:dyDescent="0.3"/>
    <row r="30" spans="2:19" s="314" customFormat="1" ht="23.25" customHeight="1" x14ac:dyDescent="0.3"/>
    <row r="31" spans="2:19" s="314" customFormat="1" x14ac:dyDescent="0.3"/>
    <row r="32" spans="2:19" s="314" customFormat="1" x14ac:dyDescent="0.3"/>
    <row r="33" spans="4:4" s="314" customFormat="1" ht="15" customHeight="1" x14ac:dyDescent="0.3"/>
    <row r="34" spans="4:4" s="314" customFormat="1" x14ac:dyDescent="0.3">
      <c r="D34" s="319"/>
    </row>
    <row r="35" spans="4:4" s="314" customFormat="1" x14ac:dyDescent="0.3">
      <c r="D35" s="319"/>
    </row>
    <row r="36" spans="4:4" s="314" customFormat="1" x14ac:dyDescent="0.3"/>
    <row r="37" spans="4:4" s="314" customFormat="1" x14ac:dyDescent="0.3"/>
    <row r="38" spans="4:4" s="314" customFormat="1" ht="31.5" customHeight="1" x14ac:dyDescent="0.3"/>
    <row r="39" spans="4:4" s="314" customFormat="1" ht="31.5" customHeight="1" x14ac:dyDescent="0.3"/>
    <row r="40" spans="4:4" s="314" customFormat="1" ht="31.5" customHeight="1" x14ac:dyDescent="0.3"/>
    <row r="41" spans="4:4" s="314" customFormat="1" ht="14.25" customHeight="1" x14ac:dyDescent="0.3"/>
    <row r="42" spans="4:4" s="314" customFormat="1" ht="28.5" customHeight="1" x14ac:dyDescent="0.3"/>
    <row r="43" spans="4:4" s="314" customFormat="1" ht="31.5" customHeight="1" x14ac:dyDescent="0.3"/>
    <row r="44" spans="4:4" s="314" customFormat="1" ht="31.5" customHeight="1" x14ac:dyDescent="0.3"/>
    <row r="45" spans="4:4" s="314" customFormat="1" ht="31.5" customHeight="1" x14ac:dyDescent="0.3"/>
    <row r="46" spans="4:4" s="314" customFormat="1" ht="25.5" customHeight="1" x14ac:dyDescent="0.3"/>
    <row r="47" spans="4:4" s="314" customFormat="1" ht="31.5" customHeight="1" x14ac:dyDescent="0.3"/>
    <row r="48" spans="4:4" s="314" customFormat="1" ht="31.5" customHeight="1" x14ac:dyDescent="0.3"/>
    <row r="49" s="314" customFormat="1" x14ac:dyDescent="0.3"/>
    <row r="50" s="314" customFormat="1" x14ac:dyDescent="0.3"/>
    <row r="51" s="314" customFormat="1" x14ac:dyDescent="0.3"/>
    <row r="52" s="314" customFormat="1" x14ac:dyDescent="0.3"/>
    <row r="53" s="314" customFormat="1" x14ac:dyDescent="0.3"/>
    <row r="54" s="314" customFormat="1" x14ac:dyDescent="0.3"/>
    <row r="55" s="314" customFormat="1" x14ac:dyDescent="0.3"/>
    <row r="56" s="314" customFormat="1" x14ac:dyDescent="0.3"/>
    <row r="57" s="314" customFormat="1" x14ac:dyDescent="0.3"/>
    <row r="58" s="314" customFormat="1" x14ac:dyDescent="0.3"/>
    <row r="59" s="314" customFormat="1" x14ac:dyDescent="0.3"/>
    <row r="60" s="314" customFormat="1" x14ac:dyDescent="0.3"/>
    <row r="61" s="314" customFormat="1" x14ac:dyDescent="0.3"/>
    <row r="62" s="314" customFormat="1" x14ac:dyDescent="0.3"/>
    <row r="63" s="314" customFormat="1" x14ac:dyDescent="0.3"/>
    <row r="64" s="314" customFormat="1" x14ac:dyDescent="0.3"/>
    <row r="65" s="314" customFormat="1" x14ac:dyDescent="0.3"/>
    <row r="66" s="314" customFormat="1" x14ac:dyDescent="0.3"/>
    <row r="67" s="314" customFormat="1" x14ac:dyDescent="0.3"/>
    <row r="68" s="314" customFormat="1" x14ac:dyDescent="0.3"/>
    <row r="69" s="314" customFormat="1" x14ac:dyDescent="0.3"/>
    <row r="70" s="314" customFormat="1" x14ac:dyDescent="0.3"/>
    <row r="71" s="314" customFormat="1" x14ac:dyDescent="0.3"/>
    <row r="72" s="314" customFormat="1" x14ac:dyDescent="0.3"/>
    <row r="73" s="314" customFormat="1" x14ac:dyDescent="0.3"/>
    <row r="74" s="314" customFormat="1" x14ac:dyDescent="0.3"/>
    <row r="75" s="314" customFormat="1" x14ac:dyDescent="0.3"/>
    <row r="76" s="314" customFormat="1" x14ac:dyDescent="0.3"/>
    <row r="77" s="314" customFormat="1" x14ac:dyDescent="0.3"/>
    <row r="78" s="314" customFormat="1" x14ac:dyDescent="0.3"/>
    <row r="79" s="314" customFormat="1" x14ac:dyDescent="0.3"/>
    <row r="80" s="314" customFormat="1" x14ac:dyDescent="0.3"/>
    <row r="81" s="314" customFormat="1" x14ac:dyDescent="0.3"/>
    <row r="82" s="314" customFormat="1" x14ac:dyDescent="0.3"/>
    <row r="83" s="314" customFormat="1" x14ac:dyDescent="0.3"/>
    <row r="84" s="314" customFormat="1" x14ac:dyDescent="0.3"/>
    <row r="85" s="314" customFormat="1" x14ac:dyDescent="0.3"/>
    <row r="86" s="314" customFormat="1" x14ac:dyDescent="0.3"/>
    <row r="87" s="314" customFormat="1" x14ac:dyDescent="0.3"/>
    <row r="88" s="314" customFormat="1" x14ac:dyDescent="0.3"/>
    <row r="89" s="314" customFormat="1" x14ac:dyDescent="0.3"/>
    <row r="90" s="314" customFormat="1" x14ac:dyDescent="0.3"/>
    <row r="91" s="314" customFormat="1" x14ac:dyDescent="0.3"/>
    <row r="92" s="314" customFormat="1" x14ac:dyDescent="0.3"/>
    <row r="93" s="314" customFormat="1" x14ac:dyDescent="0.3"/>
    <row r="94" s="314" customFormat="1" x14ac:dyDescent="0.3"/>
    <row r="95" s="314" customFormat="1" x14ac:dyDescent="0.3"/>
    <row r="96" s="314" customFormat="1" x14ac:dyDescent="0.3"/>
    <row r="97" s="314" customFormat="1" x14ac:dyDescent="0.3"/>
    <row r="98" s="314" customFormat="1" x14ac:dyDescent="0.3"/>
    <row r="99" s="314" customFormat="1" x14ac:dyDescent="0.3"/>
    <row r="100" s="314" customFormat="1" x14ac:dyDescent="0.3"/>
    <row r="101" s="314" customFormat="1" x14ac:dyDescent="0.3"/>
    <row r="102" s="314" customFormat="1" x14ac:dyDescent="0.3"/>
    <row r="103" s="314" customFormat="1" x14ac:dyDescent="0.3"/>
    <row r="104" s="314" customFormat="1" x14ac:dyDescent="0.3"/>
    <row r="105" s="314" customFormat="1" x14ac:dyDescent="0.3"/>
    <row r="106" s="314" customFormat="1" x14ac:dyDescent="0.3"/>
    <row r="107" s="314" customFormat="1" x14ac:dyDescent="0.3"/>
    <row r="108" s="314" customFormat="1" x14ac:dyDescent="0.3"/>
    <row r="109" s="314" customFormat="1" x14ac:dyDescent="0.3"/>
    <row r="110" s="314" customFormat="1" x14ac:dyDescent="0.3"/>
    <row r="111" s="314" customFormat="1" x14ac:dyDescent="0.3"/>
    <row r="112" s="314" customFormat="1" x14ac:dyDescent="0.3"/>
    <row r="113" s="314" customFormat="1" x14ac:dyDescent="0.3"/>
    <row r="114" s="314" customFormat="1" x14ac:dyDescent="0.3"/>
    <row r="115" s="314" customFormat="1" x14ac:dyDescent="0.3"/>
    <row r="116" s="314" customFormat="1" x14ac:dyDescent="0.3"/>
    <row r="117" s="314" customFormat="1" x14ac:dyDescent="0.3"/>
    <row r="118" s="314" customFormat="1" x14ac:dyDescent="0.3"/>
    <row r="119" s="314" customFormat="1" x14ac:dyDescent="0.3"/>
    <row r="120" s="314" customFormat="1" x14ac:dyDescent="0.3"/>
    <row r="121" s="314" customFormat="1" x14ac:dyDescent="0.3"/>
    <row r="122" s="314" customFormat="1" x14ac:dyDescent="0.3"/>
    <row r="123" s="314" customFormat="1" x14ac:dyDescent="0.3"/>
    <row r="124" s="314" customFormat="1" x14ac:dyDescent="0.3"/>
    <row r="125" s="314" customFormat="1" x14ac:dyDescent="0.3"/>
    <row r="126" s="314" customFormat="1" x14ac:dyDescent="0.3"/>
    <row r="127" s="314" customFormat="1" x14ac:dyDescent="0.3"/>
    <row r="128" s="314" customFormat="1" x14ac:dyDescent="0.3"/>
    <row r="129" s="314" customFormat="1" x14ac:dyDescent="0.3"/>
    <row r="130" s="314" customFormat="1" x14ac:dyDescent="0.3"/>
    <row r="131" s="314" customFormat="1" x14ac:dyDescent="0.3"/>
    <row r="132" s="314" customFormat="1" x14ac:dyDescent="0.3"/>
    <row r="133" s="314" customFormat="1" x14ac:dyDescent="0.3"/>
    <row r="134" s="314" customFormat="1" x14ac:dyDescent="0.3"/>
    <row r="135" s="314" customFormat="1" x14ac:dyDescent="0.3"/>
    <row r="136" s="314" customFormat="1" x14ac:dyDescent="0.3"/>
    <row r="137" s="314" customFormat="1" x14ac:dyDescent="0.3"/>
    <row r="138" s="314" customFormat="1" x14ac:dyDescent="0.3"/>
    <row r="139" s="314" customFormat="1" x14ac:dyDescent="0.3"/>
    <row r="140" s="314" customFormat="1" x14ac:dyDescent="0.3"/>
    <row r="141" s="314" customFormat="1" x14ac:dyDescent="0.3"/>
    <row r="142" s="314" customFormat="1" x14ac:dyDescent="0.3"/>
    <row r="143" s="314" customFormat="1" x14ac:dyDescent="0.3"/>
    <row r="144" s="314" customFormat="1" x14ac:dyDescent="0.3"/>
    <row r="145" s="314" customFormat="1" x14ac:dyDescent="0.3"/>
    <row r="146" s="314" customFormat="1" x14ac:dyDescent="0.3"/>
    <row r="147" s="314" customFormat="1" x14ac:dyDescent="0.3"/>
    <row r="148" s="314" customFormat="1" x14ac:dyDescent="0.3"/>
    <row r="149" s="314" customFormat="1" x14ac:dyDescent="0.3"/>
    <row r="150" s="314" customFormat="1" x14ac:dyDescent="0.3"/>
    <row r="151" s="314" customFormat="1" x14ac:dyDescent="0.3"/>
    <row r="152" s="314" customFormat="1" x14ac:dyDescent="0.3"/>
    <row r="153" s="314" customFormat="1" x14ac:dyDescent="0.3"/>
    <row r="154" s="314" customFormat="1" x14ac:dyDescent="0.3"/>
    <row r="155" s="314" customFormat="1" x14ac:dyDescent="0.3"/>
    <row r="156" s="314" customFormat="1" x14ac:dyDescent="0.3"/>
    <row r="157" s="314" customFormat="1" x14ac:dyDescent="0.3"/>
    <row r="158" s="314" customFormat="1" x14ac:dyDescent="0.3"/>
    <row r="159" s="314" customFormat="1" x14ac:dyDescent="0.3"/>
    <row r="160" s="314" customFormat="1" x14ac:dyDescent="0.3"/>
    <row r="161" s="314" customFormat="1" x14ac:dyDescent="0.3"/>
    <row r="162" s="314" customFormat="1" x14ac:dyDescent="0.3"/>
    <row r="163" s="314" customFormat="1" x14ac:dyDescent="0.3"/>
    <row r="164" s="314" customFormat="1" x14ac:dyDescent="0.3"/>
    <row r="165" s="314" customFormat="1" x14ac:dyDescent="0.3"/>
    <row r="166" s="314" customFormat="1" x14ac:dyDescent="0.3"/>
    <row r="167" s="314" customFormat="1" x14ac:dyDescent="0.3"/>
    <row r="168" s="314" customFormat="1" x14ac:dyDescent="0.3"/>
    <row r="169" s="314" customFormat="1" x14ac:dyDescent="0.3"/>
    <row r="170" s="314" customFormat="1" x14ac:dyDescent="0.3"/>
    <row r="171" s="314" customFormat="1" x14ac:dyDescent="0.3"/>
    <row r="172" s="314" customFormat="1" x14ac:dyDescent="0.3"/>
    <row r="173" s="314" customFormat="1" x14ac:dyDescent="0.3"/>
    <row r="174" s="314" customFormat="1" x14ac:dyDescent="0.3"/>
    <row r="175" s="314" customFormat="1" x14ac:dyDescent="0.3"/>
    <row r="176" s="314" customFormat="1" x14ac:dyDescent="0.3"/>
    <row r="177" s="314" customFormat="1" x14ac:dyDescent="0.3"/>
    <row r="178" s="314" customFormat="1" x14ac:dyDescent="0.3"/>
    <row r="179" s="314" customFormat="1" x14ac:dyDescent="0.3"/>
    <row r="180" s="314" customFormat="1" x14ac:dyDescent="0.3"/>
    <row r="181" s="314" customFormat="1" x14ac:dyDescent="0.3"/>
    <row r="182" s="314" customFormat="1" x14ac:dyDescent="0.3"/>
    <row r="183" s="314" customFormat="1" x14ac:dyDescent="0.3"/>
    <row r="184" s="314" customFormat="1" x14ac:dyDescent="0.3"/>
    <row r="185" s="314" customFormat="1" x14ac:dyDescent="0.3"/>
    <row r="186" s="314" customFormat="1" x14ac:dyDescent="0.3"/>
    <row r="187" s="314" customFormat="1" x14ac:dyDescent="0.3"/>
    <row r="188" s="314" customFormat="1" x14ac:dyDescent="0.3"/>
    <row r="189" s="314" customFormat="1" x14ac:dyDescent="0.3"/>
    <row r="190" s="314" customFormat="1" x14ac:dyDescent="0.3"/>
    <row r="191" s="314" customFormat="1" x14ac:dyDescent="0.3"/>
    <row r="192" s="314" customFormat="1" x14ac:dyDescent="0.3"/>
    <row r="193" spans="2:19" s="314" customFormat="1" x14ac:dyDescent="0.3"/>
    <row r="194" spans="2:19" s="314" customFormat="1" x14ac:dyDescent="0.3"/>
    <row r="195" spans="2:19" s="314" customFormat="1" x14ac:dyDescent="0.3"/>
    <row r="196" spans="2:19" s="314" customFormat="1" x14ac:dyDescent="0.3"/>
    <row r="197" spans="2:19" s="314" customFormat="1" x14ac:dyDescent="0.3"/>
    <row r="198" spans="2:19" s="314" customFormat="1" x14ac:dyDescent="0.3"/>
    <row r="199" spans="2:19" s="314" customFormat="1" x14ac:dyDescent="0.3"/>
    <row r="200" spans="2:19" x14ac:dyDescent="0.3">
      <c r="B200" s="67"/>
      <c r="C200" s="67"/>
      <c r="D200" s="67"/>
      <c r="E200" s="67"/>
      <c r="F200" s="67"/>
      <c r="G200" s="67"/>
      <c r="H200" s="67"/>
      <c r="I200" s="67"/>
      <c r="J200" s="67"/>
      <c r="L200" s="67"/>
      <c r="M200" s="67"/>
      <c r="N200" s="67"/>
      <c r="O200" s="67"/>
      <c r="P200" s="67"/>
      <c r="Q200" s="67"/>
      <c r="R200" s="67"/>
      <c r="S200" s="67"/>
    </row>
    <row r="201" spans="2:19" x14ac:dyDescent="0.3">
      <c r="B201" s="67"/>
      <c r="C201" s="67"/>
      <c r="D201" s="67"/>
      <c r="E201" s="67"/>
      <c r="F201" s="67"/>
      <c r="G201" s="67"/>
      <c r="H201" s="67"/>
      <c r="I201" s="67"/>
      <c r="J201" s="67"/>
      <c r="L201" s="67"/>
      <c r="M201" s="67"/>
      <c r="N201" s="67"/>
      <c r="O201" s="67"/>
      <c r="P201" s="67"/>
      <c r="Q201" s="67"/>
      <c r="R201" s="67"/>
      <c r="S201" s="67"/>
    </row>
    <row r="202" spans="2:19" x14ac:dyDescent="0.3">
      <c r="B202" s="67"/>
      <c r="C202" s="67"/>
      <c r="D202" s="67"/>
      <c r="E202" s="67"/>
      <c r="F202" s="67"/>
      <c r="G202" s="67"/>
      <c r="H202" s="67"/>
      <c r="I202" s="67"/>
      <c r="J202" s="67"/>
      <c r="L202" s="67"/>
      <c r="M202" s="67"/>
      <c r="N202" s="67"/>
      <c r="O202" s="67"/>
      <c r="P202" s="67"/>
      <c r="Q202" s="67"/>
      <c r="R202" s="67"/>
      <c r="S202" s="67"/>
    </row>
    <row r="203" spans="2:19" x14ac:dyDescent="0.3">
      <c r="B203" s="67"/>
      <c r="C203" s="67"/>
      <c r="D203" s="67"/>
      <c r="E203" s="67"/>
      <c r="F203" s="67"/>
      <c r="G203" s="67"/>
      <c r="H203" s="67"/>
      <c r="I203" s="67"/>
      <c r="J203" s="67"/>
      <c r="L203" s="67"/>
      <c r="M203" s="67"/>
      <c r="N203" s="67"/>
      <c r="O203" s="67"/>
      <c r="P203" s="67"/>
      <c r="Q203" s="67"/>
      <c r="R203" s="67"/>
      <c r="S203" s="67"/>
    </row>
    <row r="204" spans="2:19" x14ac:dyDescent="0.3">
      <c r="B204" s="67"/>
      <c r="C204" s="67"/>
      <c r="D204" s="67"/>
      <c r="E204" s="67"/>
      <c r="F204" s="67"/>
      <c r="G204" s="67"/>
      <c r="H204" s="67"/>
      <c r="I204" s="67"/>
      <c r="J204" s="67"/>
      <c r="L204" s="67"/>
      <c r="M204" s="67"/>
      <c r="N204" s="67"/>
      <c r="O204" s="67"/>
      <c r="P204" s="67"/>
      <c r="Q204" s="67"/>
      <c r="R204" s="67"/>
      <c r="S204" s="67"/>
    </row>
    <row r="205" spans="2:19" x14ac:dyDescent="0.3">
      <c r="B205" s="67"/>
      <c r="C205" s="67"/>
      <c r="D205" s="67"/>
      <c r="E205" s="67"/>
      <c r="F205" s="67"/>
      <c r="G205" s="67"/>
      <c r="H205" s="67"/>
      <c r="I205" s="67"/>
      <c r="J205" s="67"/>
      <c r="L205" s="67"/>
      <c r="M205" s="67"/>
      <c r="N205" s="67"/>
      <c r="O205" s="67"/>
      <c r="P205" s="67"/>
      <c r="Q205" s="67"/>
      <c r="R205" s="67"/>
      <c r="S205" s="67"/>
    </row>
    <row r="206" spans="2:19" x14ac:dyDescent="0.3">
      <c r="B206" s="67"/>
      <c r="C206" s="67"/>
      <c r="D206" s="67"/>
      <c r="E206" s="67"/>
      <c r="F206" s="67"/>
      <c r="G206" s="67"/>
      <c r="H206" s="67"/>
      <c r="I206" s="67"/>
      <c r="J206" s="67"/>
      <c r="L206" s="67"/>
      <c r="M206" s="67"/>
      <c r="N206" s="67"/>
      <c r="O206" s="67"/>
      <c r="P206" s="67"/>
      <c r="Q206" s="67"/>
      <c r="R206" s="67"/>
      <c r="S206" s="67"/>
    </row>
    <row r="207" spans="2:19" x14ac:dyDescent="0.3">
      <c r="B207" s="67"/>
      <c r="C207" s="67"/>
      <c r="D207" s="67"/>
      <c r="E207" s="67"/>
      <c r="F207" s="67"/>
      <c r="G207" s="67"/>
      <c r="H207" s="67"/>
      <c r="I207" s="67"/>
      <c r="J207" s="67"/>
      <c r="L207" s="67"/>
      <c r="M207" s="67"/>
      <c r="N207" s="67"/>
      <c r="O207" s="67"/>
      <c r="P207" s="67"/>
      <c r="Q207" s="67"/>
      <c r="R207" s="67"/>
      <c r="S207" s="67"/>
    </row>
    <row r="208" spans="2:19" x14ac:dyDescent="0.3">
      <c r="B208" s="67"/>
      <c r="C208" s="67"/>
      <c r="D208" s="67"/>
      <c r="E208" s="67"/>
      <c r="F208" s="67"/>
      <c r="G208" s="67"/>
      <c r="H208" s="67"/>
      <c r="I208" s="67"/>
      <c r="J208" s="67"/>
      <c r="L208" s="67"/>
      <c r="M208" s="67"/>
      <c r="N208" s="67"/>
      <c r="O208" s="67"/>
      <c r="P208" s="67"/>
      <c r="Q208" s="67"/>
      <c r="R208" s="67"/>
      <c r="S208" s="67"/>
    </row>
    <row r="209" spans="2:19" x14ac:dyDescent="0.3">
      <c r="B209" s="67"/>
      <c r="C209" s="67"/>
      <c r="D209" s="67"/>
      <c r="E209" s="67"/>
      <c r="F209" s="67"/>
      <c r="G209" s="67"/>
      <c r="H209" s="67"/>
      <c r="I209" s="67"/>
      <c r="J209" s="67"/>
      <c r="L209" s="67"/>
      <c r="M209" s="67"/>
      <c r="N209" s="67"/>
      <c r="O209" s="67"/>
      <c r="P209" s="67"/>
      <c r="Q209" s="67"/>
      <c r="R209" s="67"/>
      <c r="S209" s="67"/>
    </row>
    <row r="210" spans="2:19" x14ac:dyDescent="0.3">
      <c r="B210" s="67"/>
      <c r="C210" s="67"/>
      <c r="D210" s="67"/>
      <c r="E210" s="67"/>
      <c r="F210" s="67"/>
      <c r="G210" s="67"/>
      <c r="H210" s="67"/>
      <c r="I210" s="67"/>
      <c r="J210" s="67"/>
      <c r="L210" s="67"/>
      <c r="M210" s="67"/>
      <c r="N210" s="67"/>
      <c r="O210" s="67"/>
      <c r="P210" s="67"/>
      <c r="Q210" s="67"/>
      <c r="R210" s="67"/>
      <c r="S210" s="67"/>
    </row>
    <row r="211" spans="2:19" x14ac:dyDescent="0.3">
      <c r="B211" s="67"/>
      <c r="C211" s="67"/>
      <c r="D211" s="67"/>
      <c r="E211" s="67"/>
      <c r="F211" s="67"/>
      <c r="G211" s="67"/>
      <c r="H211" s="67"/>
      <c r="I211" s="67"/>
      <c r="J211" s="67"/>
      <c r="L211" s="67"/>
      <c r="M211" s="67"/>
      <c r="N211" s="67"/>
      <c r="O211" s="67"/>
      <c r="P211" s="67"/>
      <c r="Q211" s="67"/>
      <c r="R211" s="67"/>
      <c r="S211" s="67"/>
    </row>
    <row r="212" spans="2:19" x14ac:dyDescent="0.3">
      <c r="B212" s="67"/>
      <c r="C212" s="67"/>
      <c r="D212" s="67"/>
      <c r="E212" s="67"/>
      <c r="F212" s="67"/>
      <c r="G212" s="67"/>
      <c r="H212" s="67"/>
      <c r="I212" s="67"/>
      <c r="J212" s="67"/>
      <c r="L212" s="67"/>
      <c r="M212" s="67"/>
      <c r="N212" s="67"/>
      <c r="O212" s="67"/>
      <c r="P212" s="67"/>
      <c r="Q212" s="67"/>
      <c r="R212" s="67"/>
      <c r="S212" s="67"/>
    </row>
    <row r="213" spans="2:19" x14ac:dyDescent="0.3">
      <c r="B213" s="67"/>
      <c r="C213" s="67"/>
      <c r="D213" s="67"/>
      <c r="E213" s="67"/>
      <c r="F213" s="67"/>
      <c r="G213" s="67"/>
      <c r="H213" s="67"/>
      <c r="I213" s="67"/>
      <c r="J213" s="67"/>
      <c r="L213" s="67"/>
      <c r="M213" s="67"/>
      <c r="N213" s="67"/>
      <c r="O213" s="67"/>
      <c r="P213" s="67"/>
      <c r="Q213" s="67"/>
      <c r="R213" s="67"/>
      <c r="S213" s="67"/>
    </row>
    <row r="214" spans="2:19" x14ac:dyDescent="0.3">
      <c r="B214" s="67"/>
      <c r="C214" s="67"/>
      <c r="D214" s="67"/>
      <c r="E214" s="67"/>
      <c r="F214" s="67"/>
      <c r="G214" s="67"/>
      <c r="H214" s="67"/>
      <c r="I214" s="67"/>
      <c r="J214" s="67"/>
      <c r="L214" s="67"/>
      <c r="M214" s="67"/>
      <c r="N214" s="67"/>
      <c r="O214" s="67"/>
      <c r="P214" s="67"/>
      <c r="Q214" s="67"/>
      <c r="R214" s="67"/>
      <c r="S214" s="67"/>
    </row>
    <row r="215" spans="2:19" x14ac:dyDescent="0.3">
      <c r="B215" s="67"/>
      <c r="C215" s="67"/>
      <c r="D215" s="67"/>
      <c r="E215" s="67"/>
      <c r="F215" s="67"/>
      <c r="G215" s="67"/>
      <c r="H215" s="67"/>
      <c r="I215" s="67"/>
      <c r="J215" s="67"/>
      <c r="L215" s="67"/>
      <c r="M215" s="67"/>
      <c r="N215" s="67"/>
      <c r="O215" s="67"/>
      <c r="P215" s="67"/>
      <c r="Q215" s="67"/>
      <c r="R215" s="67"/>
      <c r="S215" s="67"/>
    </row>
    <row r="216" spans="2:19" x14ac:dyDescent="0.3">
      <c r="B216" s="67"/>
      <c r="C216" s="67"/>
      <c r="D216" s="67"/>
      <c r="E216" s="67"/>
      <c r="F216" s="67"/>
      <c r="G216" s="67"/>
      <c r="H216" s="67"/>
      <c r="I216" s="67"/>
      <c r="J216" s="67"/>
      <c r="L216" s="67"/>
      <c r="M216" s="67"/>
      <c r="N216" s="67"/>
      <c r="O216" s="67"/>
      <c r="P216" s="67"/>
      <c r="Q216" s="67"/>
      <c r="R216" s="67"/>
      <c r="S216" s="67"/>
    </row>
    <row r="217" spans="2:19" x14ac:dyDescent="0.3">
      <c r="B217" s="67"/>
      <c r="C217" s="67"/>
      <c r="D217" s="67"/>
      <c r="E217" s="67"/>
      <c r="F217" s="67"/>
      <c r="G217" s="67"/>
      <c r="H217" s="67"/>
      <c r="I217" s="67"/>
      <c r="J217" s="67"/>
      <c r="L217" s="67"/>
      <c r="M217" s="67"/>
      <c r="N217" s="67"/>
      <c r="O217" s="67"/>
      <c r="P217" s="67"/>
      <c r="Q217" s="67"/>
      <c r="R217" s="67"/>
      <c r="S217" s="67"/>
    </row>
    <row r="218" spans="2:19" x14ac:dyDescent="0.3">
      <c r="B218" s="67"/>
      <c r="C218" s="67"/>
      <c r="D218" s="67"/>
      <c r="E218" s="67"/>
      <c r="F218" s="67"/>
      <c r="G218" s="67"/>
      <c r="H218" s="67"/>
      <c r="I218" s="67"/>
      <c r="J218" s="67"/>
      <c r="L218" s="67"/>
      <c r="M218" s="67"/>
      <c r="N218" s="67"/>
      <c r="O218" s="67"/>
      <c r="P218" s="67"/>
      <c r="Q218" s="67"/>
      <c r="R218" s="67"/>
      <c r="S218" s="67"/>
    </row>
    <row r="219" spans="2:19" x14ac:dyDescent="0.3">
      <c r="B219" s="67"/>
      <c r="C219" s="67"/>
      <c r="D219" s="67"/>
      <c r="E219" s="67"/>
      <c r="F219" s="67"/>
      <c r="G219" s="67"/>
      <c r="H219" s="67"/>
      <c r="I219" s="67"/>
      <c r="J219" s="67"/>
      <c r="L219" s="67"/>
      <c r="M219" s="67"/>
      <c r="N219" s="67"/>
      <c r="O219" s="67"/>
      <c r="P219" s="67"/>
      <c r="Q219" s="67"/>
      <c r="R219" s="67"/>
      <c r="S219" s="67"/>
    </row>
    <row r="220" spans="2:19" x14ac:dyDescent="0.3">
      <c r="B220" s="67"/>
      <c r="C220" s="67"/>
      <c r="D220" s="67"/>
      <c r="E220" s="67"/>
      <c r="F220" s="67"/>
      <c r="G220" s="67"/>
      <c r="H220" s="67"/>
      <c r="I220" s="67"/>
      <c r="J220" s="67"/>
      <c r="L220" s="67"/>
      <c r="M220" s="67"/>
      <c r="N220" s="67"/>
      <c r="O220" s="67"/>
      <c r="P220" s="67"/>
      <c r="Q220" s="67"/>
      <c r="R220" s="67"/>
      <c r="S220" s="67"/>
    </row>
    <row r="221" spans="2:19" x14ac:dyDescent="0.3">
      <c r="B221" s="67"/>
      <c r="C221" s="67"/>
      <c r="D221" s="67"/>
      <c r="E221" s="67"/>
      <c r="F221" s="67"/>
      <c r="G221" s="67"/>
      <c r="H221" s="67"/>
      <c r="I221" s="67"/>
      <c r="J221" s="67"/>
      <c r="L221" s="67"/>
      <c r="M221" s="67"/>
      <c r="N221" s="67"/>
      <c r="O221" s="67"/>
      <c r="P221" s="67"/>
      <c r="Q221" s="67"/>
      <c r="R221" s="67"/>
      <c r="S221" s="67"/>
    </row>
    <row r="222" spans="2:19" x14ac:dyDescent="0.3">
      <c r="B222" s="67"/>
      <c r="C222" s="67"/>
      <c r="D222" s="67"/>
      <c r="E222" s="67"/>
      <c r="F222" s="67"/>
      <c r="G222" s="67"/>
      <c r="H222" s="67"/>
      <c r="I222" s="67"/>
      <c r="J222" s="67"/>
      <c r="L222" s="67"/>
      <c r="M222" s="67"/>
      <c r="N222" s="67"/>
      <c r="O222" s="67"/>
      <c r="P222" s="67"/>
      <c r="Q222" s="67"/>
      <c r="R222" s="67"/>
      <c r="S222" s="67"/>
    </row>
    <row r="223" spans="2:19" x14ac:dyDescent="0.3">
      <c r="B223" s="67"/>
      <c r="C223" s="67"/>
      <c r="D223" s="67"/>
      <c r="E223" s="67"/>
      <c r="F223" s="67"/>
      <c r="G223" s="67"/>
      <c r="H223" s="67"/>
      <c r="I223" s="67"/>
      <c r="J223" s="67"/>
      <c r="L223" s="67"/>
      <c r="M223" s="67"/>
      <c r="N223" s="67"/>
      <c r="O223" s="67"/>
      <c r="P223" s="67"/>
      <c r="Q223" s="67"/>
      <c r="R223" s="67"/>
      <c r="S223" s="67"/>
    </row>
    <row r="224" spans="2:19" x14ac:dyDescent="0.3">
      <c r="B224" s="67"/>
      <c r="C224" s="67"/>
      <c r="D224" s="67"/>
      <c r="E224" s="67"/>
      <c r="F224" s="67"/>
      <c r="G224" s="67"/>
      <c r="H224" s="67"/>
      <c r="I224" s="67"/>
      <c r="J224" s="67"/>
      <c r="L224" s="67"/>
      <c r="M224" s="67"/>
      <c r="N224" s="67"/>
      <c r="O224" s="67"/>
      <c r="P224" s="67"/>
      <c r="Q224" s="67"/>
      <c r="R224" s="67"/>
      <c r="S224" s="67"/>
    </row>
    <row r="225" spans="2:19" x14ac:dyDescent="0.3">
      <c r="B225" s="67"/>
      <c r="C225" s="67"/>
      <c r="D225" s="67"/>
      <c r="E225" s="67"/>
      <c r="F225" s="67"/>
      <c r="G225" s="67"/>
      <c r="H225" s="67"/>
      <c r="I225" s="67"/>
      <c r="J225" s="67"/>
      <c r="L225" s="67"/>
      <c r="M225" s="67"/>
      <c r="N225" s="67"/>
      <c r="O225" s="67"/>
      <c r="P225" s="67"/>
      <c r="Q225" s="67"/>
      <c r="R225" s="67"/>
      <c r="S225" s="67"/>
    </row>
    <row r="226" spans="2:19" x14ac:dyDescent="0.3">
      <c r="B226" s="67"/>
      <c r="C226" s="67"/>
      <c r="D226" s="67"/>
      <c r="E226" s="67"/>
      <c r="F226" s="67"/>
      <c r="G226" s="67"/>
      <c r="H226" s="67"/>
      <c r="I226" s="67"/>
      <c r="J226" s="67"/>
      <c r="L226" s="67"/>
      <c r="M226" s="67"/>
      <c r="N226" s="67"/>
      <c r="O226" s="67"/>
      <c r="P226" s="67"/>
      <c r="Q226" s="67"/>
      <c r="R226" s="67"/>
      <c r="S226" s="67"/>
    </row>
    <row r="227" spans="2:19" x14ac:dyDescent="0.3">
      <c r="B227" s="67"/>
      <c r="C227" s="67"/>
      <c r="D227" s="67"/>
      <c r="E227" s="67"/>
      <c r="F227" s="67"/>
      <c r="G227" s="67"/>
      <c r="H227" s="67"/>
      <c r="I227" s="67"/>
      <c r="J227" s="67"/>
      <c r="L227" s="67"/>
      <c r="M227" s="67"/>
      <c r="N227" s="67"/>
      <c r="O227" s="67"/>
      <c r="P227" s="67"/>
      <c r="Q227" s="67"/>
      <c r="R227" s="67"/>
      <c r="S227" s="67"/>
    </row>
    <row r="228" spans="2:19" x14ac:dyDescent="0.3">
      <c r="B228" s="67"/>
      <c r="C228" s="67"/>
      <c r="D228" s="67"/>
      <c r="E228" s="67"/>
      <c r="F228" s="67"/>
      <c r="G228" s="67"/>
      <c r="H228" s="67"/>
      <c r="I228" s="67"/>
      <c r="J228" s="67"/>
      <c r="L228" s="67"/>
      <c r="M228" s="67"/>
      <c r="N228" s="67"/>
      <c r="O228" s="67"/>
      <c r="P228" s="67"/>
      <c r="Q228" s="67"/>
      <c r="R228" s="67"/>
      <c r="S228" s="67"/>
    </row>
    <row r="229" spans="2:19" x14ac:dyDescent="0.3">
      <c r="B229" s="67"/>
      <c r="C229" s="67"/>
      <c r="D229" s="67"/>
      <c r="E229" s="67"/>
      <c r="F229" s="67"/>
      <c r="G229" s="67"/>
      <c r="H229" s="67"/>
      <c r="I229" s="67"/>
      <c r="J229" s="67"/>
      <c r="L229" s="67"/>
      <c r="M229" s="67"/>
      <c r="N229" s="67"/>
      <c r="O229" s="67"/>
      <c r="P229" s="67"/>
      <c r="Q229" s="67"/>
      <c r="R229" s="67"/>
      <c r="S229" s="67"/>
    </row>
    <row r="230" spans="2:19" x14ac:dyDescent="0.3">
      <c r="B230" s="67"/>
      <c r="C230" s="67"/>
      <c r="D230" s="67"/>
      <c r="E230" s="67"/>
      <c r="F230" s="67"/>
      <c r="G230" s="67"/>
      <c r="H230" s="67"/>
      <c r="I230" s="67"/>
      <c r="J230" s="67"/>
      <c r="L230" s="67"/>
      <c r="M230" s="67"/>
      <c r="N230" s="67"/>
      <c r="O230" s="67"/>
      <c r="P230" s="67"/>
      <c r="Q230" s="67"/>
      <c r="R230" s="67"/>
      <c r="S230" s="67"/>
    </row>
    <row r="231" spans="2:19" x14ac:dyDescent="0.3">
      <c r="B231" s="67"/>
      <c r="C231" s="67"/>
      <c r="D231" s="67"/>
      <c r="E231" s="67"/>
      <c r="F231" s="67"/>
      <c r="G231" s="67"/>
      <c r="H231" s="67"/>
      <c r="I231" s="67"/>
      <c r="J231" s="67"/>
      <c r="L231" s="67"/>
      <c r="M231" s="67"/>
      <c r="N231" s="67"/>
      <c r="O231" s="67"/>
      <c r="P231" s="67"/>
      <c r="Q231" s="67"/>
      <c r="R231" s="67"/>
      <c r="S231" s="67"/>
    </row>
    <row r="232" spans="2:19" x14ac:dyDescent="0.3">
      <c r="B232" s="67"/>
      <c r="C232" s="67"/>
      <c r="D232" s="67"/>
      <c r="E232" s="67"/>
      <c r="F232" s="67"/>
      <c r="G232" s="67"/>
      <c r="H232" s="67"/>
      <c r="I232" s="67"/>
      <c r="J232" s="67"/>
      <c r="L232" s="67"/>
      <c r="M232" s="67"/>
      <c r="N232" s="67"/>
      <c r="O232" s="67"/>
      <c r="P232" s="67"/>
      <c r="Q232" s="67"/>
      <c r="R232" s="67"/>
      <c r="S232" s="67"/>
    </row>
    <row r="233" spans="2:19" x14ac:dyDescent="0.3">
      <c r="B233" s="67"/>
      <c r="C233" s="67"/>
      <c r="D233" s="67"/>
      <c r="E233" s="67"/>
      <c r="F233" s="67"/>
      <c r="G233" s="67"/>
      <c r="H233" s="67"/>
      <c r="I233" s="67"/>
      <c r="J233" s="67"/>
      <c r="L233" s="67"/>
      <c r="M233" s="67"/>
      <c r="N233" s="67"/>
      <c r="O233" s="67"/>
      <c r="P233" s="67"/>
      <c r="Q233" s="67"/>
      <c r="R233" s="67"/>
      <c r="S233" s="67"/>
    </row>
    <row r="234" spans="2:19" x14ac:dyDescent="0.3">
      <c r="B234" s="67"/>
      <c r="C234" s="67"/>
      <c r="D234" s="67"/>
      <c r="E234" s="67"/>
      <c r="F234" s="67"/>
      <c r="G234" s="67"/>
      <c r="H234" s="67"/>
      <c r="I234" s="67"/>
      <c r="J234" s="67"/>
      <c r="L234" s="67"/>
      <c r="M234" s="67"/>
      <c r="N234" s="67"/>
      <c r="O234" s="67"/>
      <c r="P234" s="67"/>
      <c r="Q234" s="67"/>
      <c r="R234" s="67"/>
      <c r="S234" s="67"/>
    </row>
    <row r="235" spans="2:19" x14ac:dyDescent="0.3">
      <c r="B235" s="67"/>
      <c r="C235" s="67"/>
      <c r="D235" s="67"/>
      <c r="E235" s="67"/>
      <c r="F235" s="67"/>
      <c r="G235" s="67"/>
      <c r="H235" s="67"/>
      <c r="I235" s="67"/>
      <c r="J235" s="67"/>
      <c r="L235" s="67"/>
      <c r="M235" s="67"/>
      <c r="N235" s="67"/>
      <c r="O235" s="67"/>
      <c r="P235" s="67"/>
      <c r="Q235" s="67"/>
      <c r="R235" s="67"/>
      <c r="S235" s="67"/>
    </row>
    <row r="236" spans="2:19" x14ac:dyDescent="0.3">
      <c r="B236" s="67"/>
      <c r="C236" s="67"/>
      <c r="D236" s="67"/>
      <c r="E236" s="67"/>
      <c r="F236" s="67"/>
      <c r="G236" s="67"/>
      <c r="H236" s="67"/>
      <c r="I236" s="67"/>
      <c r="J236" s="67"/>
      <c r="L236" s="67"/>
      <c r="M236" s="67"/>
      <c r="N236" s="67"/>
      <c r="O236" s="67"/>
      <c r="P236" s="67"/>
      <c r="Q236" s="67"/>
      <c r="R236" s="67"/>
      <c r="S236" s="67"/>
    </row>
    <row r="237" spans="2:19" x14ac:dyDescent="0.3">
      <c r="B237" s="67"/>
      <c r="C237" s="67"/>
      <c r="D237" s="67"/>
      <c r="E237" s="67"/>
      <c r="F237" s="67"/>
      <c r="G237" s="67"/>
      <c r="H237" s="67"/>
      <c r="I237" s="67"/>
      <c r="J237" s="67"/>
      <c r="L237" s="67"/>
      <c r="M237" s="67"/>
      <c r="N237" s="67"/>
      <c r="O237" s="67"/>
      <c r="P237" s="67"/>
      <c r="Q237" s="67"/>
      <c r="R237" s="67"/>
      <c r="S237" s="67"/>
    </row>
    <row r="238" spans="2:19" x14ac:dyDescent="0.3">
      <c r="B238" s="67"/>
      <c r="C238" s="67"/>
      <c r="D238" s="67"/>
      <c r="E238" s="67"/>
      <c r="F238" s="67"/>
      <c r="G238" s="67"/>
      <c r="H238" s="67"/>
      <c r="I238" s="67"/>
      <c r="J238" s="67"/>
      <c r="L238" s="67"/>
      <c r="M238" s="67"/>
      <c r="N238" s="67"/>
      <c r="O238" s="67"/>
      <c r="P238" s="67"/>
      <c r="Q238" s="67"/>
      <c r="R238" s="67"/>
      <c r="S238" s="67"/>
    </row>
    <row r="239" spans="2:19" x14ac:dyDescent="0.3">
      <c r="B239" s="67"/>
      <c r="C239" s="67"/>
      <c r="D239" s="67"/>
      <c r="E239" s="67"/>
      <c r="F239" s="67"/>
      <c r="G239" s="67"/>
      <c r="H239" s="67"/>
      <c r="I239" s="67"/>
      <c r="J239" s="67"/>
      <c r="L239" s="67"/>
      <c r="M239" s="67"/>
      <c r="N239" s="67"/>
      <c r="O239" s="67"/>
      <c r="P239" s="67"/>
      <c r="Q239" s="67"/>
      <c r="R239" s="67"/>
      <c r="S239" s="67"/>
    </row>
    <row r="240" spans="2:19" x14ac:dyDescent="0.3">
      <c r="B240" s="67"/>
      <c r="C240" s="67"/>
      <c r="D240" s="67"/>
      <c r="E240" s="67"/>
      <c r="F240" s="67"/>
      <c r="G240" s="67"/>
      <c r="H240" s="67"/>
      <c r="I240" s="67"/>
      <c r="J240" s="67"/>
      <c r="L240" s="67"/>
      <c r="M240" s="67"/>
      <c r="N240" s="67"/>
      <c r="O240" s="67"/>
      <c r="P240" s="67"/>
      <c r="Q240" s="67"/>
      <c r="R240" s="67"/>
      <c r="S240" s="67"/>
    </row>
    <row r="241" spans="2:19" x14ac:dyDescent="0.3">
      <c r="B241" s="67"/>
      <c r="C241" s="67"/>
      <c r="D241" s="67"/>
      <c r="E241" s="67"/>
      <c r="F241" s="67"/>
      <c r="G241" s="67"/>
      <c r="H241" s="67"/>
      <c r="I241" s="67"/>
      <c r="J241" s="67"/>
      <c r="L241" s="67"/>
      <c r="M241" s="67"/>
      <c r="N241" s="67"/>
      <c r="O241" s="67"/>
      <c r="P241" s="67"/>
      <c r="Q241" s="67"/>
      <c r="R241" s="67"/>
      <c r="S241" s="67"/>
    </row>
    <row r="242" spans="2:19" x14ac:dyDescent="0.3">
      <c r="B242" s="67"/>
      <c r="C242" s="67"/>
      <c r="D242" s="67"/>
      <c r="E242" s="67"/>
      <c r="F242" s="67"/>
      <c r="G242" s="67"/>
      <c r="H242" s="67"/>
      <c r="I242" s="67"/>
      <c r="J242" s="67"/>
      <c r="L242" s="67"/>
      <c r="M242" s="67"/>
      <c r="N242" s="67"/>
      <c r="O242" s="67"/>
      <c r="P242" s="67"/>
      <c r="Q242" s="67"/>
      <c r="R242" s="67"/>
      <c r="S242" s="67"/>
    </row>
    <row r="243" spans="2:19" x14ac:dyDescent="0.3">
      <c r="B243" s="67"/>
      <c r="C243" s="67"/>
      <c r="D243" s="67"/>
      <c r="E243" s="67"/>
      <c r="F243" s="67"/>
      <c r="G243" s="67"/>
      <c r="H243" s="67"/>
      <c r="I243" s="67"/>
      <c r="J243" s="67"/>
      <c r="L243" s="67"/>
      <c r="M243" s="67"/>
      <c r="N243" s="67"/>
      <c r="O243" s="67"/>
      <c r="P243" s="67"/>
      <c r="Q243" s="67"/>
      <c r="R243" s="67"/>
      <c r="S243" s="67"/>
    </row>
    <row r="244" spans="2:19" x14ac:dyDescent="0.3">
      <c r="B244" s="67"/>
      <c r="C244" s="67"/>
      <c r="D244" s="67"/>
      <c r="E244" s="67"/>
      <c r="F244" s="67"/>
      <c r="G244" s="67"/>
      <c r="H244" s="67"/>
      <c r="I244" s="67"/>
      <c r="J244" s="67"/>
      <c r="L244" s="67"/>
      <c r="M244" s="67"/>
      <c r="N244" s="67"/>
      <c r="O244" s="67"/>
      <c r="P244" s="67"/>
      <c r="Q244" s="67"/>
      <c r="R244" s="67"/>
      <c r="S244" s="67"/>
    </row>
    <row r="245" spans="2:19" x14ac:dyDescent="0.3">
      <c r="B245" s="67"/>
      <c r="C245" s="67"/>
      <c r="D245" s="67"/>
      <c r="E245" s="67"/>
      <c r="F245" s="67"/>
      <c r="G245" s="67"/>
      <c r="H245" s="67"/>
      <c r="I245" s="67"/>
      <c r="J245" s="67"/>
      <c r="L245" s="67"/>
      <c r="M245" s="67"/>
      <c r="N245" s="67"/>
      <c r="O245" s="67"/>
      <c r="P245" s="67"/>
      <c r="Q245" s="67"/>
      <c r="R245" s="67"/>
      <c r="S245" s="67"/>
    </row>
    <row r="246" spans="2:19" x14ac:dyDescent="0.3">
      <c r="B246" s="67"/>
      <c r="C246" s="67"/>
      <c r="D246" s="67"/>
      <c r="E246" s="67"/>
      <c r="F246" s="67"/>
      <c r="G246" s="67"/>
      <c r="H246" s="67"/>
      <c r="I246" s="67"/>
      <c r="J246" s="67"/>
      <c r="L246" s="67"/>
      <c r="M246" s="67"/>
      <c r="N246" s="67"/>
      <c r="O246" s="67"/>
      <c r="P246" s="67"/>
      <c r="Q246" s="67"/>
      <c r="R246" s="67"/>
      <c r="S246" s="67"/>
    </row>
    <row r="247" spans="2:19" x14ac:dyDescent="0.3">
      <c r="B247" s="67"/>
      <c r="C247" s="67"/>
      <c r="D247" s="67"/>
      <c r="E247" s="67"/>
      <c r="F247" s="67"/>
      <c r="G247" s="67"/>
      <c r="H247" s="67"/>
      <c r="I247" s="67"/>
      <c r="J247" s="67"/>
      <c r="L247" s="67"/>
      <c r="M247" s="67"/>
      <c r="N247" s="67"/>
      <c r="O247" s="67"/>
      <c r="P247" s="67"/>
      <c r="Q247" s="67"/>
      <c r="R247" s="67"/>
      <c r="S247" s="67"/>
    </row>
    <row r="248" spans="2:19" x14ac:dyDescent="0.3">
      <c r="B248" s="67"/>
      <c r="C248" s="67"/>
      <c r="D248" s="67"/>
      <c r="E248" s="67"/>
      <c r="F248" s="67"/>
      <c r="G248" s="67"/>
      <c r="H248" s="67"/>
      <c r="I248" s="67"/>
      <c r="J248" s="67"/>
      <c r="L248" s="67"/>
      <c r="M248" s="67"/>
      <c r="N248" s="67"/>
      <c r="O248" s="67"/>
      <c r="P248" s="67"/>
      <c r="Q248" s="67"/>
      <c r="R248" s="67"/>
      <c r="S248" s="67"/>
    </row>
    <row r="249" spans="2:19" x14ac:dyDescent="0.3">
      <c r="B249" s="67"/>
      <c r="C249" s="67"/>
      <c r="D249" s="67"/>
      <c r="E249" s="67"/>
      <c r="F249" s="67"/>
      <c r="G249" s="67"/>
      <c r="H249" s="67"/>
      <c r="I249" s="67"/>
      <c r="J249" s="67"/>
      <c r="L249" s="67"/>
      <c r="M249" s="67"/>
      <c r="N249" s="67"/>
      <c r="O249" s="67"/>
      <c r="P249" s="67"/>
      <c r="Q249" s="67"/>
      <c r="R249" s="67"/>
      <c r="S249" s="67"/>
    </row>
    <row r="250" spans="2:19" x14ac:dyDescent="0.3">
      <c r="B250" s="67"/>
      <c r="C250" s="67"/>
      <c r="D250" s="67"/>
      <c r="E250" s="67"/>
      <c r="F250" s="67"/>
      <c r="G250" s="67"/>
      <c r="H250" s="67"/>
      <c r="I250" s="67"/>
      <c r="J250" s="67"/>
      <c r="L250" s="67"/>
      <c r="M250" s="67"/>
      <c r="N250" s="67"/>
      <c r="O250" s="67"/>
      <c r="P250" s="67"/>
      <c r="Q250" s="67"/>
      <c r="R250" s="67"/>
      <c r="S250" s="67"/>
    </row>
    <row r="251" spans="2:19" x14ac:dyDescent="0.3">
      <c r="B251" s="67"/>
      <c r="C251" s="67"/>
      <c r="D251" s="67"/>
      <c r="E251" s="67"/>
      <c r="F251" s="67"/>
      <c r="G251" s="67"/>
      <c r="H251" s="67"/>
      <c r="I251" s="67"/>
      <c r="J251" s="67"/>
      <c r="L251" s="67"/>
      <c r="M251" s="67"/>
      <c r="N251" s="67"/>
      <c r="O251" s="67"/>
      <c r="P251" s="67"/>
      <c r="Q251" s="67"/>
      <c r="R251" s="67"/>
      <c r="S251" s="67"/>
    </row>
    <row r="252" spans="2:19" x14ac:dyDescent="0.3">
      <c r="B252" s="67"/>
      <c r="C252" s="67"/>
      <c r="D252" s="67"/>
      <c r="E252" s="67"/>
      <c r="F252" s="67"/>
      <c r="G252" s="67"/>
      <c r="H252" s="67"/>
      <c r="I252" s="67"/>
      <c r="J252" s="67"/>
      <c r="L252" s="67"/>
      <c r="M252" s="67"/>
      <c r="N252" s="67"/>
      <c r="O252" s="67"/>
      <c r="P252" s="67"/>
      <c r="Q252" s="67"/>
      <c r="R252" s="67"/>
      <c r="S252" s="67"/>
    </row>
    <row r="253" spans="2:19" x14ac:dyDescent="0.3">
      <c r="B253" s="67"/>
      <c r="C253" s="67"/>
      <c r="D253" s="67"/>
      <c r="E253" s="67"/>
      <c r="F253" s="67"/>
      <c r="G253" s="67"/>
      <c r="H253" s="67"/>
      <c r="I253" s="67"/>
      <c r="J253" s="67"/>
      <c r="L253" s="67"/>
      <c r="M253" s="67"/>
      <c r="N253" s="67"/>
      <c r="O253" s="67"/>
      <c r="P253" s="67"/>
      <c r="Q253" s="67"/>
      <c r="R253" s="67"/>
      <c r="S253" s="67"/>
    </row>
    <row r="254" spans="2:19" x14ac:dyDescent="0.3">
      <c r="B254" s="67"/>
      <c r="C254" s="67"/>
      <c r="D254" s="67"/>
      <c r="E254" s="67"/>
      <c r="F254" s="67"/>
      <c r="G254" s="67"/>
      <c r="H254" s="67"/>
      <c r="I254" s="67"/>
      <c r="J254" s="67"/>
      <c r="L254" s="67"/>
      <c r="M254" s="67"/>
      <c r="N254" s="67"/>
      <c r="O254" s="67"/>
      <c r="P254" s="67"/>
      <c r="Q254" s="67"/>
      <c r="R254" s="67"/>
      <c r="S254" s="67"/>
    </row>
    <row r="255" spans="2:19" x14ac:dyDescent="0.3">
      <c r="B255" s="67"/>
      <c r="C255" s="67"/>
      <c r="D255" s="67"/>
      <c r="E255" s="67"/>
      <c r="F255" s="67"/>
      <c r="G255" s="67"/>
      <c r="H255" s="67"/>
      <c r="I255" s="67"/>
      <c r="J255" s="67"/>
      <c r="L255" s="67"/>
      <c r="M255" s="67"/>
      <c r="N255" s="67"/>
      <c r="O255" s="67"/>
      <c r="P255" s="67"/>
      <c r="Q255" s="67"/>
      <c r="R255" s="67"/>
      <c r="S255" s="67"/>
    </row>
    <row r="256" spans="2:19" x14ac:dyDescent="0.3">
      <c r="B256" s="67"/>
      <c r="C256" s="67"/>
      <c r="D256" s="67"/>
      <c r="E256" s="67"/>
      <c r="F256" s="67"/>
      <c r="G256" s="67"/>
      <c r="H256" s="67"/>
      <c r="I256" s="67"/>
      <c r="J256" s="67"/>
      <c r="L256" s="67"/>
      <c r="M256" s="67"/>
      <c r="N256" s="67"/>
      <c r="O256" s="67"/>
      <c r="P256" s="67"/>
      <c r="Q256" s="67"/>
      <c r="R256" s="67"/>
      <c r="S256" s="67"/>
    </row>
    <row r="257" spans="2:19" x14ac:dyDescent="0.3">
      <c r="B257" s="67"/>
      <c r="C257" s="67"/>
      <c r="D257" s="67"/>
      <c r="E257" s="67"/>
      <c r="F257" s="67"/>
      <c r="G257" s="67"/>
      <c r="H257" s="67"/>
      <c r="I257" s="67"/>
      <c r="J257" s="67"/>
      <c r="L257" s="67"/>
      <c r="M257" s="67"/>
      <c r="N257" s="67"/>
      <c r="O257" s="67"/>
      <c r="P257" s="67"/>
      <c r="Q257" s="67"/>
      <c r="R257" s="67"/>
      <c r="S257" s="67"/>
    </row>
    <row r="258" spans="2:19" x14ac:dyDescent="0.3">
      <c r="B258" s="67"/>
      <c r="C258" s="67"/>
      <c r="D258" s="67"/>
      <c r="E258" s="67"/>
      <c r="F258" s="67"/>
      <c r="G258" s="67"/>
      <c r="H258" s="67"/>
      <c r="I258" s="67"/>
      <c r="J258" s="67"/>
      <c r="L258" s="67"/>
      <c r="M258" s="67"/>
      <c r="N258" s="67"/>
      <c r="O258" s="67"/>
      <c r="P258" s="67"/>
      <c r="Q258" s="67"/>
      <c r="R258" s="67"/>
      <c r="S258" s="67"/>
    </row>
    <row r="259" spans="2:19" x14ac:dyDescent="0.3">
      <c r="B259" s="67"/>
      <c r="C259" s="67"/>
      <c r="D259" s="67"/>
      <c r="E259" s="67"/>
      <c r="F259" s="67"/>
      <c r="G259" s="67"/>
      <c r="H259" s="67"/>
      <c r="I259" s="67"/>
      <c r="J259" s="67"/>
      <c r="L259" s="67"/>
      <c r="M259" s="67"/>
      <c r="N259" s="67"/>
      <c r="O259" s="67"/>
      <c r="P259" s="67"/>
      <c r="Q259" s="67"/>
      <c r="R259" s="67"/>
      <c r="S259" s="67"/>
    </row>
    <row r="260" spans="2:19" x14ac:dyDescent="0.3">
      <c r="B260" s="67"/>
      <c r="C260" s="67"/>
      <c r="D260" s="67"/>
      <c r="E260" s="67"/>
      <c r="F260" s="67"/>
      <c r="G260" s="67"/>
      <c r="H260" s="67"/>
      <c r="I260" s="67"/>
      <c r="J260" s="67"/>
      <c r="L260" s="67"/>
      <c r="M260" s="67"/>
      <c r="N260" s="67"/>
      <c r="O260" s="67"/>
      <c r="P260" s="67"/>
      <c r="Q260" s="67"/>
      <c r="R260" s="67"/>
      <c r="S260" s="67"/>
    </row>
    <row r="261" spans="2:19" x14ac:dyDescent="0.3">
      <c r="B261" s="67"/>
      <c r="C261" s="67"/>
      <c r="D261" s="67"/>
      <c r="E261" s="67"/>
      <c r="F261" s="67"/>
      <c r="G261" s="67"/>
      <c r="H261" s="67"/>
      <c r="I261" s="67"/>
      <c r="J261" s="67"/>
      <c r="L261" s="67"/>
      <c r="M261" s="67"/>
      <c r="N261" s="67"/>
      <c r="O261" s="67"/>
      <c r="P261" s="67"/>
      <c r="Q261" s="67"/>
      <c r="R261" s="67"/>
      <c r="S261" s="67"/>
    </row>
    <row r="262" spans="2:19" x14ac:dyDescent="0.3">
      <c r="B262" s="67"/>
      <c r="C262" s="67"/>
      <c r="D262" s="67"/>
      <c r="E262" s="67"/>
      <c r="F262" s="67"/>
      <c r="G262" s="67"/>
      <c r="H262" s="67"/>
      <c r="I262" s="67"/>
      <c r="J262" s="67"/>
      <c r="L262" s="67"/>
      <c r="M262" s="67"/>
      <c r="N262" s="67"/>
      <c r="O262" s="67"/>
      <c r="P262" s="67"/>
      <c r="Q262" s="67"/>
      <c r="R262" s="67"/>
      <c r="S262" s="67"/>
    </row>
    <row r="263" spans="2:19" x14ac:dyDescent="0.3">
      <c r="B263" s="67"/>
      <c r="C263" s="67"/>
      <c r="D263" s="67"/>
      <c r="E263" s="67"/>
      <c r="F263" s="67"/>
      <c r="G263" s="67"/>
      <c r="H263" s="67"/>
      <c r="I263" s="67"/>
      <c r="J263" s="67"/>
      <c r="L263" s="67"/>
      <c r="M263" s="67"/>
      <c r="N263" s="67"/>
      <c r="O263" s="67"/>
      <c r="P263" s="67"/>
      <c r="Q263" s="67"/>
      <c r="R263" s="67"/>
      <c r="S263" s="67"/>
    </row>
    <row r="264" spans="2:19" x14ac:dyDescent="0.3">
      <c r="B264" s="67"/>
      <c r="C264" s="67"/>
      <c r="D264" s="67"/>
      <c r="E264" s="67"/>
      <c r="F264" s="67"/>
      <c r="G264" s="67"/>
      <c r="H264" s="67"/>
      <c r="I264" s="67"/>
      <c r="J264" s="67"/>
      <c r="L264" s="67"/>
      <c r="M264" s="67"/>
      <c r="N264" s="67"/>
      <c r="O264" s="67"/>
      <c r="P264" s="67"/>
      <c r="Q264" s="67"/>
      <c r="R264" s="67"/>
      <c r="S264" s="67"/>
    </row>
    <row r="265" spans="2:19" x14ac:dyDescent="0.3">
      <c r="B265" s="67"/>
      <c r="C265" s="67"/>
      <c r="D265" s="67"/>
      <c r="E265" s="67"/>
      <c r="F265" s="67"/>
      <c r="G265" s="67"/>
      <c r="H265" s="67"/>
      <c r="I265" s="67"/>
      <c r="J265" s="67"/>
      <c r="L265" s="67"/>
      <c r="M265" s="67"/>
      <c r="N265" s="67"/>
      <c r="O265" s="67"/>
      <c r="P265" s="67"/>
      <c r="Q265" s="67"/>
      <c r="R265" s="67"/>
      <c r="S265" s="67"/>
    </row>
    <row r="266" spans="2:19" x14ac:dyDescent="0.3">
      <c r="B266" s="67"/>
      <c r="C266" s="67"/>
      <c r="D266" s="67"/>
      <c r="E266" s="67"/>
      <c r="F266" s="67"/>
      <c r="G266" s="67"/>
      <c r="H266" s="67"/>
      <c r="I266" s="67"/>
      <c r="J266" s="67"/>
      <c r="L266" s="67"/>
      <c r="M266" s="67"/>
      <c r="N266" s="67"/>
      <c r="O266" s="67"/>
      <c r="P266" s="67"/>
      <c r="Q266" s="67"/>
      <c r="R266" s="67"/>
      <c r="S266" s="67"/>
    </row>
    <row r="267" spans="2:19" x14ac:dyDescent="0.3">
      <c r="B267" s="67"/>
      <c r="C267" s="67"/>
      <c r="D267" s="67"/>
      <c r="E267" s="67"/>
      <c r="F267" s="67"/>
      <c r="G267" s="67"/>
      <c r="H267" s="67"/>
      <c r="I267" s="67"/>
      <c r="J267" s="67"/>
      <c r="L267" s="67"/>
      <c r="M267" s="67"/>
      <c r="N267" s="67"/>
      <c r="O267" s="67"/>
      <c r="P267" s="67"/>
      <c r="Q267" s="67"/>
      <c r="R267" s="67"/>
      <c r="S267" s="67"/>
    </row>
    <row r="268" spans="2:19" x14ac:dyDescent="0.3">
      <c r="B268" s="67"/>
      <c r="C268" s="67"/>
      <c r="D268" s="67"/>
      <c r="E268" s="67"/>
      <c r="F268" s="67"/>
      <c r="G268" s="67"/>
      <c r="H268" s="67"/>
      <c r="I268" s="67"/>
      <c r="J268" s="67"/>
      <c r="L268" s="67"/>
      <c r="M268" s="67"/>
      <c r="N268" s="67"/>
      <c r="O268" s="67"/>
      <c r="P268" s="67"/>
      <c r="Q268" s="67"/>
      <c r="R268" s="67"/>
      <c r="S268" s="67"/>
    </row>
    <row r="269" spans="2:19" x14ac:dyDescent="0.3">
      <c r="B269" s="67"/>
      <c r="C269" s="67"/>
      <c r="D269" s="67"/>
      <c r="E269" s="67"/>
      <c r="F269" s="67"/>
      <c r="G269" s="67"/>
      <c r="H269" s="67"/>
      <c r="I269" s="67"/>
      <c r="J269" s="67"/>
      <c r="L269" s="67"/>
      <c r="M269" s="67"/>
      <c r="N269" s="67"/>
      <c r="O269" s="67"/>
      <c r="P269" s="67"/>
      <c r="Q269" s="67"/>
      <c r="R269" s="67"/>
      <c r="S269" s="67"/>
    </row>
    <row r="270" spans="2:19" x14ac:dyDescent="0.3">
      <c r="B270" s="67"/>
      <c r="C270" s="67"/>
      <c r="D270" s="67"/>
      <c r="E270" s="67"/>
      <c r="F270" s="67"/>
      <c r="G270" s="67"/>
      <c r="H270" s="67"/>
      <c r="I270" s="67"/>
      <c r="J270" s="67"/>
      <c r="L270" s="67"/>
      <c r="M270" s="67"/>
      <c r="N270" s="67"/>
      <c r="O270" s="67"/>
      <c r="P270" s="67"/>
      <c r="Q270" s="67"/>
      <c r="R270" s="67"/>
      <c r="S270" s="67"/>
    </row>
    <row r="271" spans="2:19" x14ac:dyDescent="0.3">
      <c r="B271" s="67"/>
      <c r="C271" s="67"/>
      <c r="D271" s="67"/>
      <c r="E271" s="67"/>
      <c r="F271" s="67"/>
      <c r="G271" s="67"/>
      <c r="H271" s="67"/>
      <c r="I271" s="67"/>
      <c r="J271" s="67"/>
      <c r="L271" s="67"/>
      <c r="M271" s="67"/>
      <c r="N271" s="67"/>
      <c r="O271" s="67"/>
      <c r="P271" s="67"/>
      <c r="Q271" s="67"/>
      <c r="R271" s="67"/>
      <c r="S271" s="67"/>
    </row>
    <row r="272" spans="2:19" x14ac:dyDescent="0.3">
      <c r="B272" s="67"/>
      <c r="C272" s="67"/>
      <c r="D272" s="67"/>
      <c r="E272" s="67"/>
      <c r="F272" s="67"/>
      <c r="G272" s="67"/>
      <c r="H272" s="67"/>
      <c r="I272" s="67"/>
      <c r="J272" s="67"/>
      <c r="L272" s="67"/>
      <c r="M272" s="67"/>
      <c r="N272" s="67"/>
      <c r="O272" s="67"/>
      <c r="P272" s="67"/>
      <c r="Q272" s="67"/>
      <c r="R272" s="67"/>
      <c r="S272" s="67"/>
    </row>
    <row r="273" spans="2:19" x14ac:dyDescent="0.3">
      <c r="B273" s="67"/>
      <c r="C273" s="67"/>
      <c r="D273" s="67"/>
      <c r="E273" s="67"/>
      <c r="F273" s="67"/>
      <c r="G273" s="67"/>
      <c r="H273" s="67"/>
      <c r="I273" s="67"/>
      <c r="J273" s="67"/>
      <c r="L273" s="67"/>
      <c r="M273" s="67"/>
      <c r="N273" s="67"/>
      <c r="O273" s="67"/>
      <c r="P273" s="67"/>
      <c r="Q273" s="67"/>
      <c r="R273" s="67"/>
      <c r="S273" s="67"/>
    </row>
    <row r="274" spans="2:19" x14ac:dyDescent="0.3">
      <c r="B274" s="67"/>
      <c r="C274" s="67"/>
      <c r="D274" s="67"/>
      <c r="E274" s="67"/>
      <c r="F274" s="67"/>
      <c r="G274" s="67"/>
      <c r="H274" s="67"/>
      <c r="I274" s="67"/>
      <c r="J274" s="67"/>
      <c r="L274" s="67"/>
      <c r="M274" s="67"/>
      <c r="N274" s="67"/>
      <c r="O274" s="67"/>
      <c r="P274" s="67"/>
      <c r="Q274" s="67"/>
      <c r="R274" s="67"/>
      <c r="S274" s="67"/>
    </row>
    <row r="275" spans="2:19" x14ac:dyDescent="0.3">
      <c r="B275" s="67"/>
      <c r="C275" s="67"/>
      <c r="D275" s="67"/>
      <c r="E275" s="67"/>
      <c r="F275" s="67"/>
      <c r="G275" s="67"/>
      <c r="H275" s="67"/>
      <c r="I275" s="67"/>
      <c r="J275" s="67"/>
      <c r="L275" s="67"/>
      <c r="M275" s="67"/>
      <c r="N275" s="67"/>
      <c r="O275" s="67"/>
      <c r="P275" s="67"/>
      <c r="Q275" s="67"/>
      <c r="R275" s="67"/>
      <c r="S275" s="67"/>
    </row>
    <row r="276" spans="2:19" x14ac:dyDescent="0.3">
      <c r="B276" s="67"/>
      <c r="C276" s="67"/>
      <c r="D276" s="67"/>
      <c r="E276" s="67"/>
      <c r="F276" s="67"/>
      <c r="G276" s="67"/>
      <c r="H276" s="67"/>
      <c r="I276" s="67"/>
      <c r="J276" s="67"/>
      <c r="L276" s="67"/>
      <c r="M276" s="67"/>
      <c r="N276" s="67"/>
      <c r="O276" s="67"/>
      <c r="P276" s="67"/>
      <c r="Q276" s="67"/>
      <c r="R276" s="67"/>
      <c r="S276" s="67"/>
    </row>
    <row r="277" spans="2:19" x14ac:dyDescent="0.3">
      <c r="B277" s="67"/>
      <c r="C277" s="67"/>
      <c r="D277" s="67"/>
      <c r="E277" s="67"/>
      <c r="F277" s="67"/>
      <c r="G277" s="67"/>
      <c r="H277" s="67"/>
      <c r="I277" s="67"/>
      <c r="J277" s="67"/>
      <c r="L277" s="67"/>
      <c r="M277" s="67"/>
      <c r="N277" s="67"/>
      <c r="O277" s="67"/>
      <c r="P277" s="67"/>
      <c r="Q277" s="67"/>
      <c r="R277" s="67"/>
      <c r="S277" s="67"/>
    </row>
    <row r="278" spans="2:19" x14ac:dyDescent="0.3">
      <c r="B278" s="67"/>
      <c r="C278" s="67"/>
      <c r="D278" s="67"/>
      <c r="E278" s="67"/>
      <c r="F278" s="67"/>
      <c r="G278" s="67"/>
      <c r="H278" s="67"/>
      <c r="I278" s="67"/>
      <c r="J278" s="67"/>
      <c r="L278" s="67"/>
      <c r="M278" s="67"/>
      <c r="N278" s="67"/>
      <c r="O278" s="67"/>
      <c r="P278" s="67"/>
      <c r="Q278" s="67"/>
      <c r="R278" s="67"/>
      <c r="S278" s="67"/>
    </row>
    <row r="279" spans="2:19" x14ac:dyDescent="0.3">
      <c r="B279" s="67"/>
      <c r="C279" s="67"/>
      <c r="D279" s="67"/>
      <c r="E279" s="67"/>
      <c r="F279" s="67"/>
      <c r="G279" s="67"/>
      <c r="H279" s="67"/>
      <c r="I279" s="67"/>
      <c r="J279" s="67"/>
      <c r="L279" s="67"/>
      <c r="M279" s="67"/>
      <c r="N279" s="67"/>
      <c r="O279" s="67"/>
      <c r="P279" s="67"/>
      <c r="Q279" s="67"/>
      <c r="R279" s="67"/>
      <c r="S279" s="67"/>
    </row>
    <row r="280" spans="2:19" x14ac:dyDescent="0.3">
      <c r="B280" s="67"/>
      <c r="C280" s="67"/>
      <c r="D280" s="67"/>
      <c r="E280" s="67"/>
      <c r="F280" s="67"/>
      <c r="G280" s="67"/>
      <c r="H280" s="67"/>
      <c r="I280" s="67"/>
      <c r="J280" s="67"/>
      <c r="L280" s="67"/>
      <c r="M280" s="67"/>
      <c r="N280" s="67"/>
      <c r="O280" s="67"/>
      <c r="P280" s="67"/>
      <c r="Q280" s="67"/>
      <c r="R280" s="67"/>
      <c r="S280" s="67"/>
    </row>
    <row r="281" spans="2:19" x14ac:dyDescent="0.3">
      <c r="B281" s="67"/>
      <c r="C281" s="67"/>
      <c r="D281" s="67"/>
      <c r="E281" s="67"/>
      <c r="F281" s="67"/>
      <c r="G281" s="67"/>
      <c r="H281" s="67"/>
      <c r="I281" s="67"/>
      <c r="J281" s="67"/>
      <c r="L281" s="67"/>
      <c r="M281" s="67"/>
      <c r="N281" s="67"/>
      <c r="O281" s="67"/>
      <c r="P281" s="67"/>
      <c r="Q281" s="67"/>
      <c r="R281" s="67"/>
      <c r="S281" s="67"/>
    </row>
    <row r="282" spans="2:19" x14ac:dyDescent="0.3">
      <c r="B282" s="67"/>
      <c r="C282" s="67"/>
      <c r="D282" s="67"/>
      <c r="E282" s="67"/>
      <c r="F282" s="67"/>
      <c r="G282" s="67"/>
      <c r="H282" s="67"/>
      <c r="I282" s="67"/>
      <c r="J282" s="67"/>
      <c r="L282" s="67"/>
      <c r="M282" s="67"/>
      <c r="N282" s="67"/>
      <c r="O282" s="67"/>
      <c r="P282" s="67"/>
      <c r="Q282" s="67"/>
      <c r="R282" s="67"/>
      <c r="S282" s="67"/>
    </row>
    <row r="283" spans="2:19" x14ac:dyDescent="0.3">
      <c r="B283" s="67"/>
      <c r="C283" s="67"/>
      <c r="D283" s="67"/>
      <c r="E283" s="67"/>
      <c r="F283" s="67"/>
      <c r="G283" s="67"/>
      <c r="H283" s="67"/>
      <c r="I283" s="67"/>
      <c r="J283" s="67"/>
      <c r="L283" s="67"/>
      <c r="M283" s="67"/>
      <c r="N283" s="67"/>
      <c r="O283" s="67"/>
      <c r="P283" s="67"/>
      <c r="Q283" s="67"/>
      <c r="R283" s="67"/>
      <c r="S283" s="67"/>
    </row>
    <row r="284" spans="2:19" x14ac:dyDescent="0.3">
      <c r="B284" s="67"/>
      <c r="C284" s="67"/>
      <c r="D284" s="67"/>
      <c r="E284" s="67"/>
      <c r="F284" s="67"/>
      <c r="G284" s="67"/>
      <c r="H284" s="67"/>
      <c r="I284" s="67"/>
      <c r="J284" s="67"/>
      <c r="L284" s="67"/>
      <c r="M284" s="67"/>
      <c r="N284" s="67"/>
      <c r="O284" s="67"/>
      <c r="P284" s="67"/>
      <c r="Q284" s="67"/>
      <c r="R284" s="67"/>
      <c r="S284" s="67"/>
    </row>
    <row r="285" spans="2:19" x14ac:dyDescent="0.3">
      <c r="B285" s="67"/>
      <c r="C285" s="67"/>
      <c r="D285" s="67"/>
      <c r="E285" s="67"/>
      <c r="F285" s="67"/>
      <c r="G285" s="67"/>
      <c r="H285" s="67"/>
      <c r="I285" s="67"/>
      <c r="J285" s="67"/>
      <c r="L285" s="67"/>
      <c r="M285" s="67"/>
      <c r="N285" s="67"/>
      <c r="O285" s="67"/>
      <c r="P285" s="67"/>
      <c r="Q285" s="67"/>
      <c r="R285" s="67"/>
      <c r="S285" s="67"/>
    </row>
    <row r="286" spans="2:19" x14ac:dyDescent="0.3">
      <c r="B286" s="67"/>
      <c r="C286" s="67"/>
      <c r="D286" s="67"/>
      <c r="E286" s="67"/>
      <c r="F286" s="67"/>
      <c r="G286" s="67"/>
      <c r="H286" s="67"/>
      <c r="I286" s="67"/>
      <c r="J286" s="67"/>
      <c r="L286" s="67"/>
      <c r="M286" s="67"/>
      <c r="N286" s="67"/>
      <c r="O286" s="67"/>
      <c r="P286" s="67"/>
      <c r="Q286" s="67"/>
      <c r="R286" s="67"/>
      <c r="S286" s="67"/>
    </row>
    <row r="287" spans="2:19" x14ac:dyDescent="0.3">
      <c r="B287" s="67"/>
      <c r="C287" s="67"/>
      <c r="D287" s="67"/>
      <c r="E287" s="67"/>
      <c r="F287" s="67"/>
      <c r="G287" s="67"/>
      <c r="H287" s="67"/>
      <c r="I287" s="67"/>
      <c r="J287" s="67"/>
      <c r="L287" s="67"/>
      <c r="M287" s="67"/>
      <c r="N287" s="67"/>
      <c r="O287" s="67"/>
      <c r="P287" s="67"/>
      <c r="Q287" s="67"/>
      <c r="R287" s="67"/>
      <c r="S287" s="67"/>
    </row>
    <row r="288" spans="2:19" x14ac:dyDescent="0.3">
      <c r="B288" s="67"/>
      <c r="C288" s="67"/>
      <c r="D288" s="67"/>
      <c r="E288" s="67"/>
      <c r="F288" s="67"/>
      <c r="G288" s="67"/>
      <c r="H288" s="67"/>
      <c r="I288" s="67"/>
      <c r="J288" s="67"/>
      <c r="L288" s="67"/>
      <c r="M288" s="67"/>
      <c r="N288" s="67"/>
      <c r="O288" s="67"/>
      <c r="P288" s="67"/>
      <c r="Q288" s="67"/>
      <c r="R288" s="67"/>
      <c r="S288" s="67"/>
    </row>
    <row r="289" spans="2:19" x14ac:dyDescent="0.3">
      <c r="B289" s="67"/>
      <c r="C289" s="67"/>
      <c r="D289" s="67"/>
      <c r="E289" s="67"/>
      <c r="F289" s="67"/>
      <c r="G289" s="67"/>
      <c r="H289" s="67"/>
      <c r="I289" s="67"/>
      <c r="J289" s="67"/>
      <c r="L289" s="67"/>
      <c r="M289" s="67"/>
      <c r="N289" s="67"/>
      <c r="O289" s="67"/>
      <c r="P289" s="67"/>
      <c r="Q289" s="67"/>
      <c r="R289" s="67"/>
      <c r="S289" s="67"/>
    </row>
    <row r="290" spans="2:19" x14ac:dyDescent="0.3">
      <c r="B290" s="67"/>
      <c r="C290" s="67"/>
      <c r="D290" s="67"/>
      <c r="E290" s="67"/>
      <c r="F290" s="67"/>
      <c r="G290" s="67"/>
      <c r="H290" s="67"/>
      <c r="I290" s="67"/>
      <c r="J290" s="67"/>
      <c r="L290" s="67"/>
      <c r="M290" s="67"/>
      <c r="N290" s="67"/>
      <c r="O290" s="67"/>
      <c r="P290" s="67"/>
      <c r="Q290" s="67"/>
      <c r="R290" s="67"/>
      <c r="S290" s="67"/>
    </row>
    <row r="291" spans="2:19" x14ac:dyDescent="0.3">
      <c r="B291" s="67"/>
      <c r="C291" s="67"/>
      <c r="D291" s="67"/>
      <c r="E291" s="67"/>
      <c r="F291" s="67"/>
      <c r="G291" s="67"/>
      <c r="H291" s="67"/>
      <c r="I291" s="67"/>
      <c r="J291" s="67"/>
      <c r="L291" s="67"/>
      <c r="M291" s="67"/>
      <c r="N291" s="67"/>
      <c r="O291" s="67"/>
      <c r="P291" s="67"/>
      <c r="Q291" s="67"/>
      <c r="R291" s="67"/>
      <c r="S291" s="67"/>
    </row>
    <row r="292" spans="2:19" x14ac:dyDescent="0.3">
      <c r="B292" s="67"/>
      <c r="C292" s="67"/>
      <c r="D292" s="67"/>
      <c r="E292" s="67"/>
      <c r="F292" s="67"/>
      <c r="G292" s="67"/>
      <c r="H292" s="67"/>
      <c r="I292" s="67"/>
      <c r="J292" s="67"/>
      <c r="L292" s="67"/>
      <c r="M292" s="67"/>
      <c r="N292" s="67"/>
      <c r="O292" s="67"/>
      <c r="P292" s="67"/>
      <c r="Q292" s="67"/>
      <c r="R292" s="67"/>
      <c r="S292" s="67"/>
    </row>
    <row r="293" spans="2:19" x14ac:dyDescent="0.3">
      <c r="B293" s="67"/>
      <c r="C293" s="67"/>
      <c r="D293" s="67"/>
      <c r="E293" s="67"/>
      <c r="F293" s="67"/>
      <c r="G293" s="67"/>
      <c r="H293" s="67"/>
      <c r="I293" s="67"/>
      <c r="J293" s="67"/>
      <c r="L293" s="67"/>
      <c r="M293" s="67"/>
      <c r="N293" s="67"/>
      <c r="O293" s="67"/>
      <c r="P293" s="67"/>
      <c r="Q293" s="67"/>
      <c r="R293" s="67"/>
      <c r="S293" s="67"/>
    </row>
    <row r="294" spans="2:19" x14ac:dyDescent="0.3">
      <c r="B294" s="67"/>
      <c r="C294" s="67"/>
      <c r="D294" s="67"/>
      <c r="E294" s="67"/>
      <c r="F294" s="67"/>
      <c r="G294" s="67"/>
      <c r="H294" s="67"/>
      <c r="I294" s="67"/>
      <c r="J294" s="67"/>
      <c r="L294" s="67"/>
      <c r="M294" s="67"/>
      <c r="N294" s="67"/>
      <c r="O294" s="67"/>
      <c r="P294" s="67"/>
      <c r="Q294" s="67"/>
      <c r="R294" s="67"/>
      <c r="S294" s="67"/>
    </row>
    <row r="295" spans="2:19" x14ac:dyDescent="0.3">
      <c r="B295" s="67"/>
      <c r="C295" s="67"/>
      <c r="D295" s="67"/>
      <c r="E295" s="67"/>
      <c r="F295" s="67"/>
      <c r="G295" s="67"/>
      <c r="H295" s="67"/>
      <c r="I295" s="67"/>
      <c r="J295" s="67"/>
      <c r="L295" s="67"/>
      <c r="M295" s="67"/>
      <c r="N295" s="67"/>
      <c r="O295" s="67"/>
      <c r="P295" s="67"/>
      <c r="Q295" s="67"/>
      <c r="R295" s="67"/>
      <c r="S295" s="67"/>
    </row>
    <row r="296" spans="2:19" x14ac:dyDescent="0.3">
      <c r="B296" s="67"/>
      <c r="C296" s="67"/>
      <c r="D296" s="67"/>
      <c r="E296" s="67"/>
      <c r="F296" s="67"/>
      <c r="G296" s="67"/>
      <c r="H296" s="67"/>
      <c r="I296" s="67"/>
      <c r="J296" s="67"/>
      <c r="L296" s="67"/>
      <c r="M296" s="67"/>
      <c r="N296" s="67"/>
      <c r="O296" s="67"/>
      <c r="P296" s="67"/>
      <c r="Q296" s="67"/>
      <c r="R296" s="67"/>
      <c r="S296" s="67"/>
    </row>
    <row r="297" spans="2:19" x14ac:dyDescent="0.3">
      <c r="B297" s="67"/>
      <c r="C297" s="67"/>
      <c r="D297" s="67"/>
      <c r="E297" s="67"/>
      <c r="F297" s="67"/>
      <c r="G297" s="67"/>
      <c r="H297" s="67"/>
      <c r="I297" s="67"/>
      <c r="J297" s="67"/>
      <c r="L297" s="67"/>
      <c r="M297" s="67"/>
      <c r="N297" s="67"/>
      <c r="O297" s="67"/>
      <c r="P297" s="67"/>
      <c r="Q297" s="67"/>
      <c r="R297" s="67"/>
      <c r="S297" s="67"/>
    </row>
    <row r="298" spans="2:19" x14ac:dyDescent="0.3">
      <c r="B298" s="67"/>
      <c r="C298" s="67"/>
      <c r="D298" s="67"/>
      <c r="E298" s="67"/>
      <c r="F298" s="67"/>
      <c r="G298" s="67"/>
      <c r="H298" s="67"/>
      <c r="I298" s="67"/>
      <c r="J298" s="67"/>
      <c r="L298" s="67"/>
      <c r="M298" s="67"/>
      <c r="N298" s="67"/>
      <c r="O298" s="67"/>
      <c r="P298" s="67"/>
      <c r="Q298" s="67"/>
      <c r="R298" s="67"/>
      <c r="S298" s="67"/>
    </row>
    <row r="299" spans="2:19" x14ac:dyDescent="0.3">
      <c r="B299" s="67"/>
      <c r="C299" s="67"/>
      <c r="D299" s="67"/>
      <c r="E299" s="67"/>
      <c r="F299" s="67"/>
      <c r="G299" s="67"/>
      <c r="H299" s="67"/>
      <c r="I299" s="67"/>
      <c r="J299" s="67"/>
      <c r="L299" s="67"/>
      <c r="M299" s="67"/>
      <c r="N299" s="67"/>
      <c r="O299" s="67"/>
      <c r="P299" s="67"/>
      <c r="Q299" s="67"/>
      <c r="R299" s="67"/>
      <c r="S299" s="67"/>
    </row>
    <row r="300" spans="2:19" x14ac:dyDescent="0.3">
      <c r="B300" s="67"/>
      <c r="C300" s="67"/>
      <c r="D300" s="67"/>
      <c r="E300" s="67"/>
      <c r="F300" s="67"/>
      <c r="G300" s="67"/>
      <c r="H300" s="67"/>
      <c r="I300" s="67"/>
      <c r="J300" s="67"/>
      <c r="L300" s="67"/>
      <c r="M300" s="67"/>
      <c r="N300" s="67"/>
      <c r="O300" s="67"/>
      <c r="P300" s="67"/>
      <c r="Q300" s="67"/>
      <c r="R300" s="67"/>
      <c r="S300" s="67"/>
    </row>
    <row r="301" spans="2:19" x14ac:dyDescent="0.3">
      <c r="B301" s="67"/>
      <c r="C301" s="67"/>
      <c r="D301" s="67"/>
      <c r="E301" s="67"/>
      <c r="F301" s="67"/>
      <c r="G301" s="67"/>
      <c r="H301" s="67"/>
      <c r="I301" s="67"/>
      <c r="J301" s="67"/>
      <c r="L301" s="67"/>
      <c r="M301" s="67"/>
      <c r="N301" s="67"/>
      <c r="O301" s="67"/>
      <c r="P301" s="67"/>
      <c r="Q301" s="67"/>
      <c r="R301" s="67"/>
      <c r="S301" s="67"/>
    </row>
    <row r="302" spans="2:19" x14ac:dyDescent="0.3">
      <c r="B302" s="67"/>
      <c r="C302" s="67"/>
      <c r="D302" s="67"/>
      <c r="E302" s="67"/>
      <c r="F302" s="67"/>
      <c r="G302" s="67"/>
      <c r="H302" s="67"/>
      <c r="I302" s="67"/>
      <c r="J302" s="67"/>
      <c r="L302" s="67"/>
      <c r="M302" s="67"/>
      <c r="N302" s="67"/>
      <c r="O302" s="67"/>
      <c r="P302" s="67"/>
      <c r="Q302" s="67"/>
      <c r="R302" s="67"/>
      <c r="S302" s="67"/>
    </row>
    <row r="303" spans="2:19" x14ac:dyDescent="0.3">
      <c r="B303" s="67"/>
      <c r="C303" s="67"/>
      <c r="D303" s="67"/>
      <c r="E303" s="67"/>
      <c r="F303" s="67"/>
      <c r="G303" s="67"/>
      <c r="H303" s="67"/>
      <c r="I303" s="67"/>
      <c r="J303" s="67"/>
      <c r="L303" s="67"/>
      <c r="M303" s="67"/>
      <c r="N303" s="67"/>
      <c r="O303" s="67"/>
      <c r="P303" s="67"/>
      <c r="Q303" s="67"/>
      <c r="R303" s="67"/>
      <c r="S303" s="67"/>
    </row>
    <row r="304" spans="2:19" x14ac:dyDescent="0.3">
      <c r="B304" s="67"/>
      <c r="C304" s="67"/>
      <c r="D304" s="67"/>
      <c r="E304" s="67"/>
      <c r="F304" s="67"/>
      <c r="G304" s="67"/>
      <c r="H304" s="67"/>
      <c r="I304" s="67"/>
      <c r="J304" s="67"/>
      <c r="L304" s="67"/>
      <c r="M304" s="67"/>
      <c r="N304" s="67"/>
      <c r="O304" s="67"/>
      <c r="P304" s="67"/>
      <c r="Q304" s="67"/>
      <c r="R304" s="67"/>
      <c r="S304" s="67"/>
    </row>
    <row r="305" spans="2:19" x14ac:dyDescent="0.3">
      <c r="B305" s="67"/>
      <c r="C305" s="67"/>
      <c r="D305" s="67"/>
      <c r="E305" s="67"/>
      <c r="F305" s="67"/>
      <c r="G305" s="67"/>
      <c r="H305" s="67"/>
      <c r="I305" s="67"/>
      <c r="J305" s="67"/>
      <c r="L305" s="67"/>
      <c r="M305" s="67"/>
      <c r="N305" s="67"/>
      <c r="O305" s="67"/>
      <c r="P305" s="67"/>
      <c r="Q305" s="67"/>
      <c r="R305" s="67"/>
      <c r="S305" s="67"/>
    </row>
    <row r="306" spans="2:19" x14ac:dyDescent="0.3">
      <c r="B306" s="67"/>
      <c r="C306" s="67"/>
      <c r="D306" s="67"/>
      <c r="E306" s="67"/>
      <c r="F306" s="67"/>
      <c r="G306" s="67"/>
      <c r="H306" s="67"/>
      <c r="I306" s="67"/>
      <c r="J306" s="67"/>
      <c r="L306" s="67"/>
      <c r="M306" s="67"/>
      <c r="N306" s="67"/>
      <c r="O306" s="67"/>
      <c r="P306" s="67"/>
      <c r="Q306" s="67"/>
      <c r="R306" s="67"/>
      <c r="S306" s="67"/>
    </row>
    <row r="307" spans="2:19" x14ac:dyDescent="0.3">
      <c r="B307" s="67"/>
      <c r="C307" s="67"/>
      <c r="D307" s="67"/>
      <c r="E307" s="67"/>
      <c r="F307" s="67"/>
      <c r="G307" s="67"/>
      <c r="H307" s="67"/>
      <c r="I307" s="67"/>
      <c r="J307" s="67"/>
      <c r="L307" s="67"/>
      <c r="M307" s="67"/>
      <c r="N307" s="67"/>
      <c r="O307" s="67"/>
      <c r="P307" s="67"/>
      <c r="Q307" s="67"/>
      <c r="R307" s="67"/>
      <c r="S307" s="67"/>
    </row>
    <row r="308" spans="2:19" x14ac:dyDescent="0.3">
      <c r="B308" s="67"/>
      <c r="C308" s="67"/>
      <c r="D308" s="67"/>
      <c r="E308" s="67"/>
      <c r="F308" s="67"/>
      <c r="G308" s="67"/>
      <c r="H308" s="67"/>
      <c r="I308" s="67"/>
      <c r="J308" s="67"/>
      <c r="L308" s="67"/>
      <c r="M308" s="67"/>
      <c r="N308" s="67"/>
      <c r="O308" s="67"/>
      <c r="P308" s="67"/>
      <c r="Q308" s="67"/>
      <c r="R308" s="67"/>
      <c r="S308" s="67"/>
    </row>
    <row r="309" spans="2:19" x14ac:dyDescent="0.3">
      <c r="B309" s="67"/>
      <c r="C309" s="67"/>
      <c r="D309" s="67"/>
      <c r="E309" s="67"/>
      <c r="F309" s="67"/>
      <c r="G309" s="67"/>
      <c r="H309" s="67"/>
      <c r="I309" s="67"/>
      <c r="J309" s="67"/>
      <c r="L309" s="67"/>
      <c r="M309" s="67"/>
      <c r="N309" s="67"/>
      <c r="O309" s="67"/>
      <c r="P309" s="67"/>
      <c r="Q309" s="67"/>
      <c r="R309" s="67"/>
      <c r="S309" s="67"/>
    </row>
    <row r="310" spans="2:19" x14ac:dyDescent="0.3">
      <c r="B310" s="67"/>
      <c r="C310" s="67"/>
      <c r="D310" s="67"/>
      <c r="E310" s="67"/>
      <c r="F310" s="67"/>
      <c r="G310" s="67"/>
      <c r="H310" s="67"/>
      <c r="I310" s="67"/>
      <c r="J310" s="67"/>
      <c r="L310" s="67"/>
      <c r="M310" s="67"/>
      <c r="N310" s="67"/>
      <c r="O310" s="67"/>
      <c r="P310" s="67"/>
      <c r="Q310" s="67"/>
      <c r="R310" s="67"/>
      <c r="S310" s="67"/>
    </row>
    <row r="311" spans="2:19" x14ac:dyDescent="0.3">
      <c r="B311" s="67"/>
      <c r="C311" s="67"/>
      <c r="D311" s="67"/>
      <c r="E311" s="67"/>
      <c r="F311" s="67"/>
      <c r="G311" s="67"/>
      <c r="H311" s="67"/>
      <c r="I311" s="67"/>
      <c r="J311" s="67"/>
      <c r="L311" s="67"/>
      <c r="M311" s="67"/>
      <c r="N311" s="67"/>
      <c r="O311" s="67"/>
      <c r="P311" s="67"/>
      <c r="Q311" s="67"/>
      <c r="R311" s="67"/>
      <c r="S311" s="67"/>
    </row>
    <row r="312" spans="2:19" x14ac:dyDescent="0.3">
      <c r="B312" s="67"/>
      <c r="C312" s="67"/>
      <c r="D312" s="67"/>
      <c r="E312" s="67"/>
      <c r="F312" s="67"/>
      <c r="G312" s="67"/>
      <c r="H312" s="67"/>
      <c r="I312" s="67"/>
      <c r="J312" s="67"/>
      <c r="L312" s="67"/>
      <c r="M312" s="67"/>
      <c r="N312" s="67"/>
      <c r="O312" s="67"/>
      <c r="P312" s="67"/>
      <c r="Q312" s="67"/>
      <c r="R312" s="67"/>
      <c r="S312" s="67"/>
    </row>
    <row r="313" spans="2:19" x14ac:dyDescent="0.3">
      <c r="B313" s="67"/>
      <c r="C313" s="67"/>
      <c r="D313" s="67"/>
      <c r="E313" s="67"/>
      <c r="F313" s="67"/>
      <c r="G313" s="67"/>
      <c r="H313" s="67"/>
      <c r="I313" s="67"/>
      <c r="J313" s="67"/>
      <c r="L313" s="67"/>
      <c r="M313" s="67"/>
      <c r="N313" s="67"/>
      <c r="O313" s="67"/>
      <c r="P313" s="67"/>
      <c r="Q313" s="67"/>
      <c r="R313" s="67"/>
      <c r="S313" s="67"/>
    </row>
    <row r="314" spans="2:19" x14ac:dyDescent="0.3">
      <c r="B314" s="67"/>
      <c r="C314" s="67"/>
      <c r="D314" s="67"/>
      <c r="E314" s="67"/>
      <c r="F314" s="67"/>
      <c r="G314" s="67"/>
      <c r="H314" s="67"/>
      <c r="I314" s="67"/>
      <c r="J314" s="67"/>
      <c r="L314" s="67"/>
      <c r="M314" s="67"/>
      <c r="N314" s="67"/>
      <c r="O314" s="67"/>
      <c r="P314" s="67"/>
      <c r="Q314" s="67"/>
      <c r="R314" s="67"/>
      <c r="S314" s="67"/>
    </row>
    <row r="315" spans="2:19" x14ac:dyDescent="0.3">
      <c r="B315" s="67"/>
      <c r="C315" s="67"/>
      <c r="D315" s="67"/>
      <c r="E315" s="67"/>
      <c r="F315" s="67"/>
      <c r="G315" s="67"/>
      <c r="H315" s="67"/>
      <c r="I315" s="67"/>
      <c r="J315" s="67"/>
      <c r="L315" s="67"/>
      <c r="M315" s="67"/>
      <c r="N315" s="67"/>
      <c r="O315" s="67"/>
      <c r="P315" s="67"/>
      <c r="Q315" s="67"/>
      <c r="R315" s="67"/>
      <c r="S315" s="67"/>
    </row>
    <row r="316" spans="2:19" x14ac:dyDescent="0.3">
      <c r="B316" s="67"/>
      <c r="C316" s="67"/>
      <c r="D316" s="67"/>
      <c r="E316" s="67"/>
      <c r="F316" s="67"/>
      <c r="G316" s="67"/>
      <c r="H316" s="67"/>
      <c r="I316" s="67"/>
      <c r="J316" s="67"/>
      <c r="L316" s="67"/>
      <c r="M316" s="67"/>
      <c r="N316" s="67"/>
      <c r="O316" s="67"/>
      <c r="P316" s="67"/>
      <c r="Q316" s="67"/>
      <c r="R316" s="67"/>
      <c r="S316" s="67"/>
    </row>
    <row r="317" spans="2:19" x14ac:dyDescent="0.3">
      <c r="B317" s="67"/>
      <c r="C317" s="67"/>
      <c r="D317" s="67"/>
      <c r="E317" s="67"/>
      <c r="F317" s="67"/>
      <c r="G317" s="67"/>
      <c r="H317" s="67"/>
      <c r="I317" s="67"/>
      <c r="J317" s="67"/>
      <c r="L317" s="67"/>
      <c r="M317" s="67"/>
      <c r="N317" s="67"/>
      <c r="O317" s="67"/>
      <c r="P317" s="67"/>
      <c r="Q317" s="67"/>
      <c r="R317" s="67"/>
      <c r="S317" s="67"/>
    </row>
    <row r="318" spans="2:19" x14ac:dyDescent="0.3">
      <c r="B318" s="67"/>
      <c r="C318" s="67"/>
      <c r="D318" s="67"/>
      <c r="E318" s="67"/>
      <c r="F318" s="67"/>
      <c r="G318" s="67"/>
      <c r="H318" s="67"/>
      <c r="I318" s="67"/>
      <c r="J318" s="67"/>
      <c r="L318" s="67"/>
      <c r="M318" s="67"/>
      <c r="N318" s="67"/>
      <c r="O318" s="67"/>
      <c r="P318" s="67"/>
      <c r="Q318" s="67"/>
      <c r="R318" s="67"/>
      <c r="S318" s="67"/>
    </row>
    <row r="319" spans="2:19" x14ac:dyDescent="0.3">
      <c r="B319" s="67"/>
      <c r="C319" s="67"/>
      <c r="D319" s="67"/>
      <c r="E319" s="67"/>
      <c r="F319" s="67"/>
      <c r="G319" s="67"/>
      <c r="H319" s="67"/>
      <c r="I319" s="67"/>
      <c r="J319" s="67"/>
      <c r="L319" s="67"/>
      <c r="M319" s="67"/>
      <c r="N319" s="67"/>
      <c r="O319" s="67"/>
      <c r="P319" s="67"/>
      <c r="Q319" s="67"/>
      <c r="R319" s="67"/>
      <c r="S319" s="67"/>
    </row>
    <row r="320" spans="2:19" x14ac:dyDescent="0.3">
      <c r="B320" s="67"/>
      <c r="C320" s="67"/>
      <c r="D320" s="67"/>
      <c r="E320" s="67"/>
      <c r="F320" s="67"/>
      <c r="G320" s="67"/>
      <c r="H320" s="67"/>
      <c r="I320" s="67"/>
      <c r="J320" s="67"/>
      <c r="L320" s="67"/>
      <c r="M320" s="67"/>
      <c r="N320" s="67"/>
      <c r="O320" s="67"/>
      <c r="P320" s="67"/>
      <c r="Q320" s="67"/>
      <c r="R320" s="67"/>
      <c r="S320" s="67"/>
    </row>
    <row r="321" spans="2:19" x14ac:dyDescent="0.3">
      <c r="B321" s="67"/>
      <c r="C321" s="67"/>
      <c r="D321" s="67"/>
      <c r="E321" s="67"/>
      <c r="F321" s="67"/>
      <c r="G321" s="67"/>
      <c r="H321" s="67"/>
      <c r="I321" s="67"/>
      <c r="J321" s="67"/>
      <c r="L321" s="67"/>
      <c r="M321" s="67"/>
      <c r="N321" s="67"/>
      <c r="O321" s="67"/>
      <c r="P321" s="67"/>
      <c r="Q321" s="67"/>
      <c r="R321" s="67"/>
      <c r="S321" s="67"/>
    </row>
    <row r="322" spans="2:19" x14ac:dyDescent="0.3">
      <c r="B322" s="67"/>
      <c r="C322" s="67"/>
      <c r="D322" s="67"/>
      <c r="E322" s="67"/>
      <c r="F322" s="67"/>
      <c r="G322" s="67"/>
      <c r="H322" s="67"/>
      <c r="I322" s="67"/>
      <c r="J322" s="67"/>
      <c r="L322" s="67"/>
      <c r="M322" s="67"/>
      <c r="N322" s="67"/>
      <c r="O322" s="67"/>
      <c r="P322" s="67"/>
      <c r="Q322" s="67"/>
      <c r="R322" s="67"/>
      <c r="S322" s="67"/>
    </row>
    <row r="323" spans="2:19" x14ac:dyDescent="0.3">
      <c r="B323" s="67"/>
      <c r="C323" s="67"/>
      <c r="D323" s="67"/>
      <c r="E323" s="67"/>
      <c r="F323" s="67"/>
      <c r="G323" s="67"/>
      <c r="H323" s="67"/>
      <c r="I323" s="67"/>
      <c r="J323" s="67"/>
      <c r="L323" s="67"/>
      <c r="M323" s="67"/>
      <c r="N323" s="67"/>
      <c r="O323" s="67"/>
      <c r="P323" s="67"/>
      <c r="Q323" s="67"/>
      <c r="R323" s="67"/>
      <c r="S323" s="67"/>
    </row>
    <row r="324" spans="2:19" x14ac:dyDescent="0.3">
      <c r="B324" s="67"/>
      <c r="C324" s="67"/>
      <c r="D324" s="67"/>
      <c r="E324" s="67"/>
      <c r="F324" s="67"/>
      <c r="G324" s="67"/>
      <c r="H324" s="67"/>
      <c r="I324" s="67"/>
      <c r="J324" s="67"/>
      <c r="L324" s="67"/>
      <c r="M324" s="67"/>
      <c r="N324" s="67"/>
      <c r="O324" s="67"/>
      <c r="P324" s="67"/>
      <c r="Q324" s="67"/>
      <c r="R324" s="67"/>
      <c r="S324" s="67"/>
    </row>
    <row r="325" spans="2:19" x14ac:dyDescent="0.3">
      <c r="B325" s="67"/>
      <c r="C325" s="67"/>
      <c r="D325" s="67"/>
      <c r="E325" s="67"/>
      <c r="F325" s="67"/>
      <c r="G325" s="67"/>
      <c r="H325" s="67"/>
      <c r="I325" s="67"/>
      <c r="J325" s="67"/>
      <c r="L325" s="67"/>
      <c r="M325" s="67"/>
      <c r="N325" s="67"/>
      <c r="O325" s="67"/>
      <c r="P325" s="67"/>
      <c r="Q325" s="67"/>
      <c r="R325" s="67"/>
      <c r="S325" s="67"/>
    </row>
    <row r="326" spans="2:19" x14ac:dyDescent="0.3">
      <c r="B326" s="67"/>
      <c r="C326" s="67"/>
      <c r="D326" s="67"/>
      <c r="E326" s="67"/>
      <c r="F326" s="67"/>
      <c r="G326" s="67"/>
      <c r="H326" s="67"/>
      <c r="I326" s="67"/>
      <c r="J326" s="67"/>
      <c r="L326" s="67"/>
      <c r="M326" s="67"/>
      <c r="N326" s="67"/>
      <c r="O326" s="67"/>
      <c r="P326" s="67"/>
      <c r="Q326" s="67"/>
      <c r="R326" s="67"/>
      <c r="S326" s="67"/>
    </row>
    <row r="327" spans="2:19" x14ac:dyDescent="0.3">
      <c r="B327" s="67"/>
      <c r="C327" s="67"/>
      <c r="D327" s="67"/>
      <c r="E327" s="67"/>
      <c r="F327" s="67"/>
      <c r="G327" s="67"/>
      <c r="H327" s="67"/>
      <c r="I327" s="67"/>
      <c r="J327" s="67"/>
      <c r="L327" s="67"/>
      <c r="M327" s="67"/>
      <c r="N327" s="67"/>
      <c r="O327" s="67"/>
      <c r="P327" s="67"/>
      <c r="Q327" s="67"/>
      <c r="R327" s="67"/>
      <c r="S327" s="67"/>
    </row>
    <row r="328" spans="2:19" x14ac:dyDescent="0.3">
      <c r="B328" s="67"/>
      <c r="C328" s="67"/>
      <c r="D328" s="67"/>
      <c r="E328" s="67"/>
      <c r="F328" s="67"/>
      <c r="G328" s="67"/>
      <c r="H328" s="67"/>
      <c r="I328" s="67"/>
      <c r="J328" s="67"/>
      <c r="L328" s="67"/>
      <c r="M328" s="67"/>
      <c r="N328" s="67"/>
      <c r="O328" s="67"/>
      <c r="P328" s="67"/>
      <c r="Q328" s="67"/>
      <c r="R328" s="67"/>
      <c r="S328" s="67"/>
    </row>
    <row r="329" spans="2:19" x14ac:dyDescent="0.3">
      <c r="B329" s="67"/>
      <c r="C329" s="67"/>
      <c r="D329" s="67"/>
      <c r="E329" s="67"/>
      <c r="F329" s="67"/>
      <c r="G329" s="67"/>
      <c r="H329" s="67"/>
      <c r="I329" s="67"/>
      <c r="J329" s="67"/>
      <c r="L329" s="67"/>
      <c r="M329" s="67"/>
      <c r="N329" s="67"/>
      <c r="O329" s="67"/>
      <c r="P329" s="67"/>
      <c r="Q329" s="67"/>
      <c r="R329" s="67"/>
      <c r="S329" s="67"/>
    </row>
    <row r="330" spans="2:19" x14ac:dyDescent="0.3">
      <c r="B330" s="67"/>
      <c r="C330" s="67"/>
      <c r="D330" s="67"/>
      <c r="E330" s="67"/>
      <c r="F330" s="67"/>
      <c r="G330" s="67"/>
      <c r="H330" s="67"/>
      <c r="I330" s="67"/>
      <c r="J330" s="67"/>
      <c r="L330" s="67"/>
      <c r="M330" s="67"/>
      <c r="N330" s="67"/>
      <c r="O330" s="67"/>
      <c r="P330" s="67"/>
      <c r="Q330" s="67"/>
      <c r="R330" s="67"/>
      <c r="S330" s="67"/>
    </row>
    <row r="331" spans="2:19" x14ac:dyDescent="0.3">
      <c r="B331" s="67"/>
      <c r="C331" s="67"/>
      <c r="D331" s="67"/>
      <c r="E331" s="67"/>
      <c r="F331" s="67"/>
      <c r="G331" s="67"/>
      <c r="H331" s="67"/>
      <c r="I331" s="67"/>
      <c r="J331" s="67"/>
      <c r="L331" s="67"/>
      <c r="M331" s="67"/>
      <c r="N331" s="67"/>
      <c r="O331" s="67"/>
      <c r="P331" s="67"/>
      <c r="Q331" s="67"/>
      <c r="R331" s="67"/>
      <c r="S331" s="67"/>
    </row>
    <row r="332" spans="2:19" x14ac:dyDescent="0.3">
      <c r="B332" s="67"/>
      <c r="C332" s="67"/>
      <c r="D332" s="67"/>
      <c r="E332" s="67"/>
      <c r="F332" s="67"/>
      <c r="G332" s="67"/>
      <c r="H332" s="67"/>
      <c r="I332" s="67"/>
      <c r="J332" s="67"/>
      <c r="L332" s="67"/>
      <c r="M332" s="67"/>
      <c r="N332" s="67"/>
      <c r="O332" s="67"/>
      <c r="P332" s="67"/>
      <c r="Q332" s="67"/>
      <c r="R332" s="67"/>
      <c r="S332" s="67"/>
    </row>
    <row r="333" spans="2:19" x14ac:dyDescent="0.3">
      <c r="B333" s="67"/>
      <c r="C333" s="67"/>
      <c r="D333" s="67"/>
      <c r="E333" s="67"/>
      <c r="F333" s="67"/>
      <c r="G333" s="67"/>
      <c r="H333" s="67"/>
      <c r="I333" s="67"/>
      <c r="J333" s="67"/>
      <c r="L333" s="67"/>
      <c r="M333" s="67"/>
      <c r="N333" s="67"/>
      <c r="O333" s="67"/>
      <c r="P333" s="67"/>
      <c r="Q333" s="67"/>
      <c r="R333" s="67"/>
      <c r="S333" s="67"/>
    </row>
    <row r="334" spans="2:19" x14ac:dyDescent="0.3">
      <c r="B334" s="67"/>
      <c r="C334" s="67"/>
      <c r="D334" s="67"/>
      <c r="E334" s="67"/>
      <c r="F334" s="67"/>
      <c r="G334" s="67"/>
      <c r="H334" s="67"/>
      <c r="I334" s="67"/>
      <c r="J334" s="67"/>
      <c r="L334" s="67"/>
      <c r="M334" s="67"/>
      <c r="N334" s="67"/>
      <c r="O334" s="67"/>
      <c r="P334" s="67"/>
      <c r="Q334" s="67"/>
      <c r="R334" s="67"/>
      <c r="S334" s="67"/>
    </row>
    <row r="335" spans="2:19" x14ac:dyDescent="0.3">
      <c r="B335" s="67"/>
      <c r="C335" s="67"/>
      <c r="D335" s="67"/>
      <c r="E335" s="67"/>
      <c r="F335" s="67"/>
      <c r="G335" s="67"/>
      <c r="H335" s="67"/>
      <c r="I335" s="67"/>
      <c r="J335" s="67"/>
      <c r="L335" s="67"/>
      <c r="M335" s="67"/>
      <c r="N335" s="67"/>
      <c r="O335" s="67"/>
      <c r="P335" s="67"/>
      <c r="Q335" s="67"/>
      <c r="R335" s="67"/>
      <c r="S335" s="67"/>
    </row>
  </sheetData>
  <sheetProtection algorithmName="SHA-512" hashValue="kccza/FvvHy5gNmxFRAw3ki/hyXDZqjulhp28bGB2HR/eJr/tucbfMWYDKggGz+dEfGxFoAWfUUcXm9m2iEdEA==" saltValue="+U0X2kwegy21YuCaJZMeLg==" spinCount="100000" sheet="1" objects="1" scenarios="1"/>
  <protectedRanges>
    <protectedRange sqref="I17:I18" name="Power Efficiencies"/>
    <protectedRange sqref="F24" name="Heavy Duty Policy"/>
    <protectedRange sqref="F21" name="Light Duty Policy"/>
    <protectedRange sqref="E7:G8" name="Methane Leak Rates"/>
    <protectedRange sqref="F17:F18" name="Power Sector Policy"/>
  </protectedRanges>
  <mergeCells count="13">
    <mergeCell ref="E3:G3"/>
    <mergeCell ref="E4:F4"/>
    <mergeCell ref="D9:H9"/>
    <mergeCell ref="C11:I12"/>
    <mergeCell ref="H15:I15"/>
    <mergeCell ref="D25:H26"/>
    <mergeCell ref="M20:M21"/>
    <mergeCell ref="M22:M23"/>
    <mergeCell ref="M16:R17"/>
    <mergeCell ref="O18:R18"/>
    <mergeCell ref="M18:M19"/>
    <mergeCell ref="H19:I20"/>
    <mergeCell ref="N25:R26"/>
  </mergeCells>
  <dataValidations xWindow="379" yWindow="653" count="9">
    <dataValidation type="whole" allowBlank="1" showInputMessage="1" showErrorMessage="1" error="The user should enter a heat rate between 6,000 and 14,000 Btu/Kwh" prompt="Enter a heat rate (Btu/kWh) to be applied to additional natgas in the Policy Case fuel mix above the baseline share._x000a__x000a_New Combustion Turbine (CT) ~ 8,300 to 10,800_x000a_New Combined Cycle (CC) ~ 6,400 to 7,100" sqref="I18">
      <formula1>6000</formula1>
      <formula2>14000</formula2>
    </dataValidation>
    <dataValidation type="whole" allowBlank="1" showInputMessage="1" showErrorMessage="1" error="Enter a heat rate between 6,000 and 14,000 Btu/Kwh" prompt="Enter a heat rate (Btu/kWh) to be applied to additional coal in the Policy Case fuel mix above the baseline share._x000a__x000a_Old Coal ~ 10,000 to 12,000 Btu/kWh_x000a_New Coal ~ 8,700 to 10,000 Btu/kWh_x000a_" sqref="I17">
      <formula1>6000</formula1>
      <formula2>14000</formula2>
    </dataValidation>
    <dataValidation type="decimal" allowBlank="1" showInputMessage="1" showErrorMessage="1" errorTitle="Invalid Value" error="_x000a_" prompt="Users should not allow this figure to drop below 0%.  Negative figures in this cell generate an &quot;ERROR&quot;. Please adjust the natural gas and other shares such that coal is 0% or above (natural gas plus other shares should not be greater than 100%)." sqref="F16">
      <formula1>0</formula1>
      <formula2>1</formula2>
    </dataValidation>
    <dataValidation type="decimal" allowBlank="1" showInputMessage="1" showErrorMessage="1" errorTitle="Wrong Value" error="Please enter a number between 0 and 2." prompt="EDF estimates that the current pump to wheels natural gas leakage rate is 0.5%. The model allows the user to input current leak rates between 0% and 2%." sqref="G7">
      <formula1>0</formula1>
      <formula2>0.02</formula2>
    </dataValidation>
    <dataValidation type="decimal" allowBlank="1" showInputMessage="1" showErrorMessage="1" errorTitle="Wrong Value" error="Please enter a number between 0.5 and 8._x000a_" prompt="The EPA estimates that the current well to city gate natural gas leakage rate is 2%. Because there is debate over whether that is the case, the model allows the user to input current leak rates between 0.5% and 8%." sqref="E7">
      <formula1>0.005</formula1>
      <formula2>0.08</formula2>
    </dataValidation>
    <dataValidation type="decimal" allowBlank="1" showInputMessage="1" showErrorMessage="1" errorTitle="Wrong Value" error="Please enter a number between 0.1 and 2." prompt="The EPA estimates that the current local distribution natural gas leakage rate is 0.3%. Because there is debate over whether that is the case, the model allows the user to input current leak rates between 0.1% and 2%." sqref="F7">
      <formula1>0.001</formula1>
      <formula2>0.02</formula2>
    </dataValidation>
    <dataValidation type="decimal" allowBlank="1" showInputMessage="1" showErrorMessage="1" errorTitle="Wrong Value" error="Please enter a number between 0.5 and 8._x000a_" prompt="The user should enter a new leakage rate between 0.5% and 8%." sqref="E8">
      <formula1>0.005</formula1>
      <formula2>0.08</formula2>
    </dataValidation>
    <dataValidation type="decimal" allowBlank="1" showInputMessage="1" showErrorMessage="1" errorTitle="Wrong Value" error="Please enter a number between 0.1 and 2." prompt="The user should enter a new leakage rate between 0.1% and 2%." sqref="F8">
      <formula1>0.001</formula1>
      <formula2>0.02</formula2>
    </dataValidation>
    <dataValidation type="decimal" allowBlank="1" showInputMessage="1" showErrorMessage="1" errorTitle="Wrong Value" error="Please enter a number between 0 and 2." prompt="The user should enter a new leakage rate between 0% and 2%." sqref="G8">
      <formula1>0</formula1>
      <formula2>0.02</formula2>
    </dataValidation>
  </dataValidations>
  <pageMargins left="0.7" right="0.7" top="0.75" bottom="0.75" header="0.3" footer="0.3"/>
  <pageSetup scale="43" orientation="portrait" verticalDpi="0" r:id="rId1"/>
  <colBreaks count="1" manualBreakCount="1">
    <brk id="20" max="34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2:G36"/>
  <sheetViews>
    <sheetView workbookViewId="0">
      <selection activeCell="E55" sqref="E55"/>
    </sheetView>
  </sheetViews>
  <sheetFormatPr defaultColWidth="9" defaultRowHeight="12" x14ac:dyDescent="0.25"/>
  <cols>
    <col min="1" max="1" width="1.6328125" style="535" customWidth="1"/>
    <col min="2" max="2" width="9.7265625" style="535" customWidth="1"/>
    <col min="3" max="6" width="7.90625" style="535" customWidth="1"/>
    <col min="7" max="16384" width="9" style="535"/>
  </cols>
  <sheetData>
    <row r="2" spans="1:7" ht="31.5" customHeight="1" x14ac:dyDescent="0.25">
      <c r="B2" s="614" t="s">
        <v>398</v>
      </c>
      <c r="C2" s="614"/>
      <c r="D2" s="614"/>
      <c r="E2" s="614"/>
      <c r="F2" s="614"/>
    </row>
    <row r="3" spans="1:7" ht="8.25" customHeight="1" thickBot="1" x14ac:dyDescent="0.3"/>
    <row r="4" spans="1:7" ht="29.25" customHeight="1" thickBot="1" x14ac:dyDescent="0.3">
      <c r="C4" s="536" t="s">
        <v>56</v>
      </c>
      <c r="D4" s="537" t="s">
        <v>58</v>
      </c>
      <c r="E4" s="615" t="s">
        <v>394</v>
      </c>
      <c r="F4" s="616"/>
    </row>
    <row r="5" spans="1:7" ht="29.25" customHeight="1" x14ac:dyDescent="0.25">
      <c r="B5" s="538" t="s">
        <v>322</v>
      </c>
      <c r="C5" s="539">
        <f>'Cross-Over L Calcs'!$B$47</f>
        <v>2.0000000000000014E-2</v>
      </c>
      <c r="D5" s="540">
        <f>'Cross-Over L Calcs'!$B$82</f>
        <v>2.0000000000000021E-2</v>
      </c>
      <c r="E5" s="617">
        <f>MIN('Cross-Over L Calcs'!B24:B232)</f>
        <v>2.0000000000000014E-2</v>
      </c>
      <c r="F5" s="618"/>
    </row>
    <row r="6" spans="1:7" ht="29.25" customHeight="1" x14ac:dyDescent="0.25">
      <c r="B6" s="541" t="s">
        <v>359</v>
      </c>
      <c r="C6" s="542">
        <f>'Cross-Over L Calcs'!$C$47</f>
        <v>2.8000000000000014E-2</v>
      </c>
      <c r="D6" s="543">
        <f>'Cross-Over L Calcs'!$C$82</f>
        <v>2.8000000000000014E-2</v>
      </c>
      <c r="E6" s="619">
        <f>MIN('Cross-Over L Calcs'!C24:C232)</f>
        <v>2.8000000000000014E-2</v>
      </c>
      <c r="F6" s="620"/>
    </row>
    <row r="7" spans="1:7" ht="29.25" customHeight="1" thickBot="1" x14ac:dyDescent="0.3">
      <c r="B7" s="544" t="s">
        <v>360</v>
      </c>
      <c r="C7" s="545">
        <f>'Cross-Over L Calcs'!$D$47</f>
        <v>2.8000000000000014E-2</v>
      </c>
      <c r="D7" s="546">
        <f>'Cross-Over L Calcs'!$D$82</f>
        <v>2.8000000000000014E-2</v>
      </c>
      <c r="E7" s="621">
        <f>MIN('Cross-Over L Calcs'!D24:D232)</f>
        <v>2.8000000000000014E-2</v>
      </c>
      <c r="F7" s="622"/>
    </row>
    <row r="8" spans="1:7" ht="12" customHeight="1" x14ac:dyDescent="0.25">
      <c r="B8" s="611" t="s">
        <v>397</v>
      </c>
      <c r="C8" s="611"/>
      <c r="D8" s="611"/>
      <c r="E8" s="611"/>
      <c r="F8" s="611"/>
    </row>
    <row r="9" spans="1:7" x14ac:dyDescent="0.25">
      <c r="B9" s="612"/>
      <c r="C9" s="612"/>
      <c r="D9" s="612"/>
      <c r="E9" s="612"/>
      <c r="F9" s="612"/>
    </row>
    <row r="10" spans="1:7" ht="12" customHeight="1" x14ac:dyDescent="0.25">
      <c r="B10" s="612" t="s">
        <v>396</v>
      </c>
      <c r="C10" s="612"/>
      <c r="D10" s="612"/>
      <c r="E10" s="612"/>
      <c r="F10" s="612"/>
    </row>
    <row r="11" spans="1:7" ht="12" customHeight="1" x14ac:dyDescent="0.25">
      <c r="B11" s="612"/>
      <c r="C11" s="612"/>
      <c r="D11" s="612"/>
      <c r="E11" s="612"/>
      <c r="F11" s="612"/>
    </row>
    <row r="12" spans="1:7" ht="12" customHeight="1" x14ac:dyDescent="0.25">
      <c r="B12" s="612"/>
      <c r="C12" s="612"/>
      <c r="D12" s="612"/>
      <c r="E12" s="612"/>
      <c r="F12" s="612"/>
    </row>
    <row r="13" spans="1:7" ht="12" customHeight="1" x14ac:dyDescent="0.25">
      <c r="B13" s="612"/>
      <c r="C13" s="612"/>
      <c r="D13" s="612"/>
      <c r="E13" s="612"/>
      <c r="F13" s="612"/>
    </row>
    <row r="14" spans="1:7" ht="12" customHeight="1" x14ac:dyDescent="0.25">
      <c r="B14" s="573"/>
      <c r="C14" s="573"/>
      <c r="D14" s="573"/>
      <c r="E14" s="573"/>
      <c r="F14" s="573"/>
    </row>
    <row r="15" spans="1:7" ht="12" customHeight="1" x14ac:dyDescent="0.25">
      <c r="A15" s="547"/>
      <c r="B15" s="573"/>
      <c r="C15" s="573"/>
      <c r="D15" s="573"/>
      <c r="E15" s="573"/>
      <c r="F15" s="573"/>
      <c r="G15" s="547"/>
    </row>
    <row r="16" spans="1:7" ht="12" customHeight="1" x14ac:dyDescent="0.25">
      <c r="A16" s="547"/>
      <c r="B16" s="573"/>
      <c r="C16" s="573"/>
      <c r="D16" s="573"/>
      <c r="E16" s="573"/>
      <c r="F16" s="573"/>
      <c r="G16" s="547"/>
    </row>
    <row r="17" spans="1:7" ht="12" customHeight="1" x14ac:dyDescent="0.25">
      <c r="A17" s="547"/>
      <c r="B17" s="613" t="s">
        <v>395</v>
      </c>
      <c r="C17" s="613"/>
      <c r="D17" s="613"/>
      <c r="E17" s="613"/>
      <c r="F17" s="613"/>
      <c r="G17" s="547"/>
    </row>
    <row r="18" spans="1:7" ht="12" customHeight="1" x14ac:dyDescent="0.25">
      <c r="A18" s="547"/>
      <c r="B18" s="613"/>
      <c r="C18" s="613"/>
      <c r="D18" s="613"/>
      <c r="E18" s="613"/>
      <c r="F18" s="613"/>
      <c r="G18" s="547"/>
    </row>
    <row r="19" spans="1:7" ht="12" customHeight="1" x14ac:dyDescent="0.25">
      <c r="A19" s="547"/>
      <c r="B19" s="613"/>
      <c r="C19" s="613"/>
      <c r="D19" s="613"/>
      <c r="E19" s="613"/>
      <c r="F19" s="613"/>
      <c r="G19" s="547"/>
    </row>
    <row r="20" spans="1:7" ht="12" customHeight="1" x14ac:dyDescent="0.25">
      <c r="A20" s="547"/>
      <c r="B20" s="613"/>
      <c r="C20" s="613"/>
      <c r="D20" s="613"/>
      <c r="E20" s="613"/>
      <c r="F20" s="613"/>
      <c r="G20" s="547"/>
    </row>
    <row r="21" spans="1:7" ht="12" customHeight="1" x14ac:dyDescent="0.25">
      <c r="A21" s="547"/>
      <c r="B21" s="613"/>
      <c r="C21" s="613"/>
      <c r="D21" s="613"/>
      <c r="E21" s="613"/>
      <c r="F21" s="613"/>
      <c r="G21" s="547"/>
    </row>
    <row r="22" spans="1:7" ht="12" customHeight="1" x14ac:dyDescent="0.25">
      <c r="A22" s="547"/>
      <c r="B22" s="613"/>
      <c r="C22" s="613"/>
      <c r="D22" s="613"/>
      <c r="E22" s="613"/>
      <c r="F22" s="613"/>
      <c r="G22" s="547"/>
    </row>
    <row r="23" spans="1:7" ht="12" customHeight="1" x14ac:dyDescent="0.25">
      <c r="A23" s="547"/>
      <c r="B23" s="613"/>
      <c r="C23" s="613"/>
      <c r="D23" s="613"/>
      <c r="E23" s="613"/>
      <c r="F23" s="613"/>
      <c r="G23" s="547"/>
    </row>
    <row r="24" spans="1:7" ht="12" customHeight="1" x14ac:dyDescent="0.25">
      <c r="A24" s="547"/>
      <c r="B24" s="613"/>
      <c r="C24" s="613"/>
      <c r="D24" s="613"/>
      <c r="E24" s="613"/>
      <c r="F24" s="613"/>
      <c r="G24" s="547"/>
    </row>
    <row r="25" spans="1:7" ht="12" customHeight="1" x14ac:dyDescent="0.25">
      <c r="A25" s="547"/>
      <c r="B25" s="613"/>
      <c r="C25" s="613"/>
      <c r="D25" s="613"/>
      <c r="E25" s="613"/>
      <c r="F25" s="613"/>
      <c r="G25" s="547"/>
    </row>
    <row r="26" spans="1:7" ht="12" customHeight="1" x14ac:dyDescent="0.25">
      <c r="A26" s="547"/>
      <c r="B26" s="613"/>
      <c r="C26" s="613"/>
      <c r="D26" s="613"/>
      <c r="E26" s="613"/>
      <c r="F26" s="613"/>
      <c r="G26" s="547"/>
    </row>
    <row r="27" spans="1:7" ht="12" customHeight="1" x14ac:dyDescent="0.25">
      <c r="A27" s="547"/>
      <c r="B27" s="573"/>
      <c r="C27" s="573"/>
      <c r="D27" s="573"/>
      <c r="E27" s="573"/>
      <c r="F27" s="573"/>
      <c r="G27" s="547"/>
    </row>
    <row r="28" spans="1:7" ht="12" customHeight="1" x14ac:dyDescent="0.25">
      <c r="A28" s="547"/>
      <c r="B28" s="573"/>
      <c r="C28" s="573"/>
      <c r="D28" s="573"/>
      <c r="E28" s="573"/>
      <c r="F28" s="573"/>
      <c r="G28" s="547"/>
    </row>
    <row r="29" spans="1:7" ht="12" customHeight="1" x14ac:dyDescent="0.25">
      <c r="A29" s="547"/>
      <c r="B29" s="573"/>
      <c r="C29" s="573"/>
      <c r="D29" s="573"/>
      <c r="E29" s="573"/>
      <c r="F29" s="573"/>
      <c r="G29" s="547"/>
    </row>
    <row r="30" spans="1:7" ht="12" customHeight="1" x14ac:dyDescent="0.25">
      <c r="A30" s="547"/>
      <c r="B30" s="573"/>
      <c r="C30" s="573"/>
      <c r="D30" s="573"/>
      <c r="E30" s="573"/>
      <c r="F30" s="573"/>
      <c r="G30" s="547"/>
    </row>
    <row r="31" spans="1:7" x14ac:dyDescent="0.25">
      <c r="A31" s="547"/>
      <c r="B31" s="547"/>
      <c r="C31" s="547"/>
      <c r="D31" s="547"/>
      <c r="E31" s="547"/>
      <c r="F31" s="547"/>
      <c r="G31" s="547"/>
    </row>
    <row r="32" spans="1:7" x14ac:dyDescent="0.25">
      <c r="A32" s="547"/>
      <c r="B32" s="547"/>
      <c r="C32" s="547"/>
      <c r="D32" s="547"/>
      <c r="E32" s="547"/>
      <c r="F32" s="547"/>
      <c r="G32" s="547"/>
    </row>
    <row r="33" spans="1:7" x14ac:dyDescent="0.25">
      <c r="A33" s="547"/>
      <c r="B33" s="547"/>
      <c r="C33" s="547"/>
      <c r="D33" s="547"/>
      <c r="E33" s="547"/>
      <c r="F33" s="547"/>
      <c r="G33" s="547"/>
    </row>
    <row r="34" spans="1:7" x14ac:dyDescent="0.25">
      <c r="A34" s="547"/>
      <c r="B34" s="547"/>
      <c r="C34" s="547"/>
      <c r="D34" s="547"/>
      <c r="E34" s="547"/>
      <c r="F34" s="547"/>
      <c r="G34" s="547"/>
    </row>
    <row r="35" spans="1:7" x14ac:dyDescent="0.25">
      <c r="A35" s="547"/>
      <c r="B35" s="547"/>
      <c r="C35" s="547"/>
      <c r="D35" s="547"/>
      <c r="E35" s="547"/>
      <c r="F35" s="547"/>
      <c r="G35" s="547"/>
    </row>
    <row r="36" spans="1:7" x14ac:dyDescent="0.25">
      <c r="A36" s="547"/>
      <c r="B36" s="547"/>
      <c r="C36" s="547"/>
      <c r="D36" s="547"/>
      <c r="E36" s="547"/>
      <c r="F36" s="547"/>
      <c r="G36" s="547"/>
    </row>
  </sheetData>
  <sheetProtection password="B467" sheet="1" objects="1" scenarios="1"/>
  <mergeCells count="8">
    <mergeCell ref="B8:F9"/>
    <mergeCell ref="B17:F26"/>
    <mergeCell ref="B10:F13"/>
    <mergeCell ref="B2:F2"/>
    <mergeCell ref="E4:F4"/>
    <mergeCell ref="E5:F5"/>
    <mergeCell ref="E6:F6"/>
    <mergeCell ref="E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2:M209"/>
  <sheetViews>
    <sheetView topLeftCell="A85" workbookViewId="0">
      <selection activeCell="A105" sqref="A105:XFD105"/>
    </sheetView>
  </sheetViews>
  <sheetFormatPr defaultColWidth="9" defaultRowHeight="13.8" x14ac:dyDescent="0.3"/>
  <cols>
    <col min="1" max="7" width="15.6328125" style="297" customWidth="1"/>
    <col min="8" max="8" width="15.26953125" style="297" customWidth="1"/>
    <col min="9" max="9" width="15.453125" style="297" customWidth="1"/>
    <col min="10" max="16384" width="9" style="297"/>
  </cols>
  <sheetData>
    <row r="2" spans="1:13" x14ac:dyDescent="0.3">
      <c r="A2" s="325" t="s">
        <v>392</v>
      </c>
    </row>
    <row r="3" spans="1:13" ht="14.4" thickBot="1" x14ac:dyDescent="0.35"/>
    <row r="4" spans="1:13" ht="34.5" customHeight="1" x14ac:dyDescent="0.3">
      <c r="A4" s="623" t="s">
        <v>47</v>
      </c>
      <c r="B4" s="625" t="s">
        <v>44</v>
      </c>
      <c r="C4" s="626"/>
      <c r="D4" s="627" t="s">
        <v>43</v>
      </c>
      <c r="E4" s="628"/>
      <c r="F4" s="628"/>
      <c r="G4" s="629"/>
      <c r="H4" s="630" t="s">
        <v>113</v>
      </c>
      <c r="I4" s="632" t="s">
        <v>61</v>
      </c>
    </row>
    <row r="5" spans="1:13" ht="33.75" customHeight="1" thickBot="1" x14ac:dyDescent="0.35">
      <c r="A5" s="624"/>
      <c r="B5" s="326" t="s">
        <v>98</v>
      </c>
      <c r="C5" s="258" t="s">
        <v>99</v>
      </c>
      <c r="D5" s="327" t="s">
        <v>100</v>
      </c>
      <c r="E5" s="258" t="s">
        <v>101</v>
      </c>
      <c r="F5" s="328" t="s">
        <v>102</v>
      </c>
      <c r="G5" s="259" t="s">
        <v>103</v>
      </c>
      <c r="H5" s="631"/>
      <c r="I5" s="633"/>
      <c r="M5" s="329" t="s">
        <v>125</v>
      </c>
    </row>
    <row r="6" spans="1:13" x14ac:dyDescent="0.3">
      <c r="A6" s="330">
        <v>0.99999999999999989</v>
      </c>
      <c r="B6" s="331">
        <f>('TPWP Scenario Outputs'!B13-1)*'2010 Baseline Data'!$B$7</f>
        <v>0</v>
      </c>
      <c r="C6" s="260">
        <f>ROUND(('TPWP Scenario Outputs'!C13-1)*'2010 Baseline Data'!$B$7,4)</f>
        <v>0</v>
      </c>
      <c r="D6" s="331">
        <f>('TPWP Scenario Outputs'!D13-1)*'2010 Baseline Data'!$B$11</f>
        <v>0</v>
      </c>
      <c r="E6" s="261">
        <f>ROUND(('TPWP Scenario Outputs'!E13-1)*'2010 Baseline Data'!$B$11,4)</f>
        <v>0</v>
      </c>
      <c r="F6" s="333">
        <f>('TPWP Scenario Outputs'!F13-1)*'2010 Baseline Data'!$B$13</f>
        <v>0</v>
      </c>
      <c r="G6" s="262">
        <f>ROUND(('TPWP Scenario Outputs'!G13-1)*'2010 Baseline Data'!$B$13,4)</f>
        <v>0</v>
      </c>
      <c r="H6" s="262">
        <f>ROUND('Other Sectors Outputs'!D22/'2010 Baseline Data'!C24,4)</f>
        <v>0</v>
      </c>
      <c r="I6" s="340">
        <f>C6+E6+G6+H6</f>
        <v>0</v>
      </c>
      <c r="M6" s="334">
        <v>0</v>
      </c>
    </row>
    <row r="7" spans="1:13" x14ac:dyDescent="0.3">
      <c r="A7" s="330">
        <v>2</v>
      </c>
      <c r="B7" s="331">
        <f>('TPWP Scenario Outputs'!B14-1)*'2010 Baseline Data'!$B$7</f>
        <v>0</v>
      </c>
      <c r="C7" s="260">
        <f>ROUND(('TPWP Scenario Outputs'!C14-1)*'2010 Baseline Data'!$B$7,4)</f>
        <v>0</v>
      </c>
      <c r="D7" s="331">
        <f>('TPWP Scenario Outputs'!D14-1)*'2010 Baseline Data'!$B$11</f>
        <v>0</v>
      </c>
      <c r="E7" s="261">
        <f>ROUND(('TPWP Scenario Outputs'!E14-1)*'2010 Baseline Data'!$B$11,4)</f>
        <v>0</v>
      </c>
      <c r="F7" s="333">
        <f>('TPWP Scenario Outputs'!F14-1)*'2010 Baseline Data'!$B$13</f>
        <v>0</v>
      </c>
      <c r="G7" s="262">
        <f>ROUND(('TPWP Scenario Outputs'!G14-1)*'2010 Baseline Data'!$B$13,4)</f>
        <v>0</v>
      </c>
      <c r="H7" s="262">
        <f>ROUND('Other Sectors Outputs'!D23/'2010 Baseline Data'!C25,4)</f>
        <v>0</v>
      </c>
      <c r="I7" s="340">
        <f t="shared" ref="I7:I70" si="0">C7+E7+G7+H7</f>
        <v>0</v>
      </c>
      <c r="M7" s="334">
        <v>0</v>
      </c>
    </row>
    <row r="8" spans="1:13" x14ac:dyDescent="0.3">
      <c r="A8" s="330">
        <v>3</v>
      </c>
      <c r="B8" s="331">
        <f>('TPWP Scenario Outputs'!B15-1)*'2010 Baseline Data'!$B$7</f>
        <v>0</v>
      </c>
      <c r="C8" s="260">
        <f>ROUND(('TPWP Scenario Outputs'!C15-1)*'2010 Baseline Data'!$B$7,4)</f>
        <v>0</v>
      </c>
      <c r="D8" s="331">
        <f>('TPWP Scenario Outputs'!D15-1)*'2010 Baseline Data'!$B$11</f>
        <v>0</v>
      </c>
      <c r="E8" s="261">
        <f>ROUND(('TPWP Scenario Outputs'!E15-1)*'2010 Baseline Data'!$B$11,4)</f>
        <v>0</v>
      </c>
      <c r="F8" s="333">
        <f>('TPWP Scenario Outputs'!F15-1)*'2010 Baseline Data'!$B$13</f>
        <v>0</v>
      </c>
      <c r="G8" s="262">
        <f>ROUND(('TPWP Scenario Outputs'!G15-1)*'2010 Baseline Data'!$B$13,4)</f>
        <v>0</v>
      </c>
      <c r="H8" s="262">
        <f>ROUND('Other Sectors Outputs'!D24/'2010 Baseline Data'!C26,4)</f>
        <v>0</v>
      </c>
      <c r="I8" s="340">
        <f t="shared" si="0"/>
        <v>0</v>
      </c>
      <c r="M8" s="334">
        <v>0</v>
      </c>
    </row>
    <row r="9" spans="1:13" x14ac:dyDescent="0.3">
      <c r="A9" s="330">
        <v>4</v>
      </c>
      <c r="B9" s="331">
        <f>('TPWP Scenario Outputs'!B16-1)*'2010 Baseline Data'!$B$7</f>
        <v>-7.4597025891717237E-17</v>
      </c>
      <c r="C9" s="260">
        <f>ROUND(('TPWP Scenario Outputs'!C16-1)*'2010 Baseline Data'!$B$7,4)</f>
        <v>0</v>
      </c>
      <c r="D9" s="331">
        <f>('TPWP Scenario Outputs'!D16-1)*'2010 Baseline Data'!$B$11</f>
        <v>0</v>
      </c>
      <c r="E9" s="261">
        <f>ROUND(('TPWP Scenario Outputs'!E16-1)*'2010 Baseline Data'!$B$11,4)</f>
        <v>0</v>
      </c>
      <c r="F9" s="333">
        <f>('TPWP Scenario Outputs'!F16-1)*'2010 Baseline Data'!$B$13</f>
        <v>0</v>
      </c>
      <c r="G9" s="262">
        <f>ROUND(('TPWP Scenario Outputs'!G16-1)*'2010 Baseline Data'!$B$13,4)</f>
        <v>0</v>
      </c>
      <c r="H9" s="262">
        <f>ROUND('Other Sectors Outputs'!D25/'2010 Baseline Data'!C27,4)</f>
        <v>0</v>
      </c>
      <c r="I9" s="340">
        <f t="shared" si="0"/>
        <v>0</v>
      </c>
      <c r="M9" s="334">
        <v>0</v>
      </c>
    </row>
    <row r="10" spans="1:13" x14ac:dyDescent="0.3">
      <c r="A10" s="330">
        <v>5</v>
      </c>
      <c r="B10" s="331">
        <f>('TPWP Scenario Outputs'!B17-1)*'2010 Baseline Data'!$B$7</f>
        <v>0</v>
      </c>
      <c r="C10" s="260">
        <f>ROUND(('TPWP Scenario Outputs'!C17-1)*'2010 Baseline Data'!$B$7,4)</f>
        <v>0</v>
      </c>
      <c r="D10" s="331">
        <f>('TPWP Scenario Outputs'!D17-1)*'2010 Baseline Data'!$B$11</f>
        <v>0</v>
      </c>
      <c r="E10" s="261">
        <f>ROUND(('TPWP Scenario Outputs'!E17-1)*'2010 Baseline Data'!$B$11,4)</f>
        <v>0</v>
      </c>
      <c r="F10" s="333">
        <f>('TPWP Scenario Outputs'!F17-1)*'2010 Baseline Data'!$B$13</f>
        <v>0</v>
      </c>
      <c r="G10" s="262">
        <f>ROUND(('TPWP Scenario Outputs'!G17-1)*'2010 Baseline Data'!$B$13,4)</f>
        <v>0</v>
      </c>
      <c r="H10" s="262">
        <f>ROUND('Other Sectors Outputs'!D26/'2010 Baseline Data'!C28,4)</f>
        <v>0</v>
      </c>
      <c r="I10" s="340">
        <f t="shared" si="0"/>
        <v>0</v>
      </c>
      <c r="M10" s="334">
        <v>0</v>
      </c>
    </row>
    <row r="11" spans="1:13" x14ac:dyDescent="0.3">
      <c r="A11" s="330">
        <v>6</v>
      </c>
      <c r="B11" s="331">
        <f>('TPWP Scenario Outputs'!B18-1)*'2010 Baseline Data'!$B$7</f>
        <v>0</v>
      </c>
      <c r="C11" s="260">
        <f>ROUND(('TPWP Scenario Outputs'!C18-1)*'2010 Baseline Data'!$B$7,4)</f>
        <v>0</v>
      </c>
      <c r="D11" s="331">
        <f>('TPWP Scenario Outputs'!D18-1)*'2010 Baseline Data'!$B$11</f>
        <v>0</v>
      </c>
      <c r="E11" s="261">
        <f>ROUND(('TPWP Scenario Outputs'!E18-1)*'2010 Baseline Data'!$B$11,4)</f>
        <v>0</v>
      </c>
      <c r="F11" s="333">
        <f>('TPWP Scenario Outputs'!F18-1)*'2010 Baseline Data'!$B$13</f>
        <v>0</v>
      </c>
      <c r="G11" s="262">
        <f>ROUND(('TPWP Scenario Outputs'!G18-1)*'2010 Baseline Data'!$B$13,4)</f>
        <v>0</v>
      </c>
      <c r="H11" s="262">
        <f>ROUND('Other Sectors Outputs'!D27/'2010 Baseline Data'!C29,4)</f>
        <v>0</v>
      </c>
      <c r="I11" s="340">
        <f t="shared" si="0"/>
        <v>0</v>
      </c>
      <c r="M11" s="334">
        <v>0</v>
      </c>
    </row>
    <row r="12" spans="1:13" x14ac:dyDescent="0.3">
      <c r="A12" s="330">
        <v>7</v>
      </c>
      <c r="B12" s="331">
        <f>('TPWP Scenario Outputs'!B19-1)*'2010 Baseline Data'!$B$7</f>
        <v>0</v>
      </c>
      <c r="C12" s="260">
        <f>ROUND(('TPWP Scenario Outputs'!C19-1)*'2010 Baseline Data'!$B$7,4)</f>
        <v>0</v>
      </c>
      <c r="D12" s="331">
        <f>('TPWP Scenario Outputs'!D19-1)*'2010 Baseline Data'!$B$11</f>
        <v>0</v>
      </c>
      <c r="E12" s="261">
        <f>ROUND(('TPWP Scenario Outputs'!E19-1)*'2010 Baseline Data'!$B$11,4)</f>
        <v>0</v>
      </c>
      <c r="F12" s="333">
        <f>('TPWP Scenario Outputs'!F19-1)*'2010 Baseline Data'!$B$13</f>
        <v>0</v>
      </c>
      <c r="G12" s="262">
        <f>ROUND(('TPWP Scenario Outputs'!G19-1)*'2010 Baseline Data'!$B$13,4)</f>
        <v>0</v>
      </c>
      <c r="H12" s="262">
        <f>ROUND('Other Sectors Outputs'!D28/'2010 Baseline Data'!C30,4)</f>
        <v>0</v>
      </c>
      <c r="I12" s="340">
        <f t="shared" si="0"/>
        <v>0</v>
      </c>
      <c r="M12" s="334">
        <v>0</v>
      </c>
    </row>
    <row r="13" spans="1:13" x14ac:dyDescent="0.3">
      <c r="A13" s="330">
        <v>8</v>
      </c>
      <c r="B13" s="331">
        <f>('TPWP Scenario Outputs'!B20-1)*'2010 Baseline Data'!$B$7</f>
        <v>-7.4597025891717237E-17</v>
      </c>
      <c r="C13" s="260">
        <f>ROUND(('TPWP Scenario Outputs'!C20-1)*'2010 Baseline Data'!$B$7,4)</f>
        <v>0</v>
      </c>
      <c r="D13" s="331">
        <f>('TPWP Scenario Outputs'!D20-1)*'2010 Baseline Data'!$B$11</f>
        <v>0</v>
      </c>
      <c r="E13" s="261">
        <f>ROUND(('TPWP Scenario Outputs'!E20-1)*'2010 Baseline Data'!$B$11,4)</f>
        <v>0</v>
      </c>
      <c r="F13" s="333">
        <f>('TPWP Scenario Outputs'!F20-1)*'2010 Baseline Data'!$B$13</f>
        <v>0</v>
      </c>
      <c r="G13" s="262">
        <f>ROUND(('TPWP Scenario Outputs'!G20-1)*'2010 Baseline Data'!$B$13,4)</f>
        <v>0</v>
      </c>
      <c r="H13" s="262">
        <f>ROUND('Other Sectors Outputs'!D29/'2010 Baseline Data'!C31,4)</f>
        <v>0</v>
      </c>
      <c r="I13" s="340">
        <f t="shared" si="0"/>
        <v>0</v>
      </c>
      <c r="M13" s="334">
        <v>0</v>
      </c>
    </row>
    <row r="14" spans="1:13" x14ac:dyDescent="0.3">
      <c r="A14" s="330">
        <v>9</v>
      </c>
      <c r="B14" s="331">
        <f>('TPWP Scenario Outputs'!B21-1)*'2010 Baseline Data'!$B$7</f>
        <v>-7.4597025891717237E-17</v>
      </c>
      <c r="C14" s="260">
        <f>ROUND(('TPWP Scenario Outputs'!C21-1)*'2010 Baseline Data'!$B$7,4)</f>
        <v>0</v>
      </c>
      <c r="D14" s="331">
        <f>('TPWP Scenario Outputs'!D21-1)*'2010 Baseline Data'!$B$11</f>
        <v>0</v>
      </c>
      <c r="E14" s="261">
        <f>ROUND(('TPWP Scenario Outputs'!E21-1)*'2010 Baseline Data'!$B$11,4)</f>
        <v>0</v>
      </c>
      <c r="F14" s="333">
        <f>('TPWP Scenario Outputs'!F21-1)*'2010 Baseline Data'!$B$13</f>
        <v>0</v>
      </c>
      <c r="G14" s="262">
        <f>ROUND(('TPWP Scenario Outputs'!G21-1)*'2010 Baseline Data'!$B$13,4)</f>
        <v>0</v>
      </c>
      <c r="H14" s="262">
        <f>ROUND('Other Sectors Outputs'!D30/'2010 Baseline Data'!C32,4)</f>
        <v>0</v>
      </c>
      <c r="I14" s="340">
        <f t="shared" si="0"/>
        <v>0</v>
      </c>
      <c r="M14" s="334">
        <v>0</v>
      </c>
    </row>
    <row r="15" spans="1:13" x14ac:dyDescent="0.3">
      <c r="A15" s="330">
        <v>10</v>
      </c>
      <c r="B15" s="331">
        <f>('TPWP Scenario Outputs'!B22-1)*'2010 Baseline Data'!$B$7</f>
        <v>0</v>
      </c>
      <c r="C15" s="260">
        <f>ROUND(('TPWP Scenario Outputs'!C22-1)*'2010 Baseline Data'!$B$7,4)</f>
        <v>0</v>
      </c>
      <c r="D15" s="331">
        <f>('TPWP Scenario Outputs'!D22-1)*'2010 Baseline Data'!$B$11</f>
        <v>0</v>
      </c>
      <c r="E15" s="261">
        <f>ROUND(('TPWP Scenario Outputs'!E22-1)*'2010 Baseline Data'!$B$11,4)</f>
        <v>0</v>
      </c>
      <c r="F15" s="333">
        <f>('TPWP Scenario Outputs'!F22-1)*'2010 Baseline Data'!$B$13</f>
        <v>0</v>
      </c>
      <c r="G15" s="262">
        <f>ROUND(('TPWP Scenario Outputs'!G22-1)*'2010 Baseline Data'!$B$13,4)</f>
        <v>0</v>
      </c>
      <c r="H15" s="262">
        <f>ROUND('Other Sectors Outputs'!D31/'2010 Baseline Data'!C33,4)</f>
        <v>0</v>
      </c>
      <c r="I15" s="340">
        <f t="shared" si="0"/>
        <v>0</v>
      </c>
      <c r="M15" s="334">
        <v>0</v>
      </c>
    </row>
    <row r="16" spans="1:13" x14ac:dyDescent="0.3">
      <c r="A16" s="330">
        <v>11</v>
      </c>
      <c r="B16" s="331">
        <f>('TPWP Scenario Outputs'!B23-1)*'2010 Baseline Data'!$B$7</f>
        <v>-7.4597025891717237E-17</v>
      </c>
      <c r="C16" s="260">
        <f>ROUND(('TPWP Scenario Outputs'!C23-1)*'2010 Baseline Data'!$B$7,4)</f>
        <v>0</v>
      </c>
      <c r="D16" s="331">
        <f>('TPWP Scenario Outputs'!D23-1)*'2010 Baseline Data'!$B$11</f>
        <v>0</v>
      </c>
      <c r="E16" s="261">
        <f>ROUND(('TPWP Scenario Outputs'!E23-1)*'2010 Baseline Data'!$B$11,4)</f>
        <v>0</v>
      </c>
      <c r="F16" s="333">
        <f>('TPWP Scenario Outputs'!F23-1)*'2010 Baseline Data'!$B$13</f>
        <v>0</v>
      </c>
      <c r="G16" s="262">
        <f>ROUND(('TPWP Scenario Outputs'!G23-1)*'2010 Baseline Data'!$B$13,4)</f>
        <v>0</v>
      </c>
      <c r="H16" s="262">
        <f>ROUND('Other Sectors Outputs'!D32/'2010 Baseline Data'!C34,4)</f>
        <v>0</v>
      </c>
      <c r="I16" s="340">
        <f t="shared" si="0"/>
        <v>0</v>
      </c>
      <c r="M16" s="334">
        <v>0</v>
      </c>
    </row>
    <row r="17" spans="1:13" x14ac:dyDescent="0.3">
      <c r="A17" s="330">
        <v>12</v>
      </c>
      <c r="B17" s="331">
        <f>('TPWP Scenario Outputs'!B24-1)*'2010 Baseline Data'!$B$7</f>
        <v>-1.1189553883757586E-16</v>
      </c>
      <c r="C17" s="260">
        <f>ROUND(('TPWP Scenario Outputs'!C24-1)*'2010 Baseline Data'!$B$7,4)</f>
        <v>0</v>
      </c>
      <c r="D17" s="331">
        <f>('TPWP Scenario Outputs'!D24-1)*'2010 Baseline Data'!$B$11</f>
        <v>0</v>
      </c>
      <c r="E17" s="261">
        <f>ROUND(('TPWP Scenario Outputs'!E24-1)*'2010 Baseline Data'!$B$11,4)</f>
        <v>0</v>
      </c>
      <c r="F17" s="333">
        <f>('TPWP Scenario Outputs'!F24-1)*'2010 Baseline Data'!$B$13</f>
        <v>0</v>
      </c>
      <c r="G17" s="262">
        <f>ROUND(('TPWP Scenario Outputs'!G24-1)*'2010 Baseline Data'!$B$13,4)</f>
        <v>0</v>
      </c>
      <c r="H17" s="262">
        <f>ROUND('Other Sectors Outputs'!D33/'2010 Baseline Data'!C35,4)</f>
        <v>0</v>
      </c>
      <c r="I17" s="340">
        <f t="shared" si="0"/>
        <v>0</v>
      </c>
      <c r="M17" s="334">
        <v>0</v>
      </c>
    </row>
    <row r="18" spans="1:13" x14ac:dyDescent="0.3">
      <c r="A18" s="330">
        <v>13</v>
      </c>
      <c r="B18" s="331">
        <f>('TPWP Scenario Outputs'!B25-1)*'2010 Baseline Data'!$B$7</f>
        <v>-3.7298512945858618E-17</v>
      </c>
      <c r="C18" s="260">
        <f>ROUND(('TPWP Scenario Outputs'!C25-1)*'2010 Baseline Data'!$B$7,4)</f>
        <v>0</v>
      </c>
      <c r="D18" s="331">
        <f>('TPWP Scenario Outputs'!D25-1)*'2010 Baseline Data'!$B$11</f>
        <v>0</v>
      </c>
      <c r="E18" s="261">
        <f>ROUND(('TPWP Scenario Outputs'!E25-1)*'2010 Baseline Data'!$B$11,4)</f>
        <v>0</v>
      </c>
      <c r="F18" s="333">
        <f>('TPWP Scenario Outputs'!F25-1)*'2010 Baseline Data'!$B$13</f>
        <v>0</v>
      </c>
      <c r="G18" s="262">
        <f>ROUND(('TPWP Scenario Outputs'!G25-1)*'2010 Baseline Data'!$B$13,4)</f>
        <v>0</v>
      </c>
      <c r="H18" s="262">
        <f>ROUND('Other Sectors Outputs'!D34/'2010 Baseline Data'!C36,4)</f>
        <v>0</v>
      </c>
      <c r="I18" s="340">
        <f t="shared" si="0"/>
        <v>0</v>
      </c>
      <c r="M18" s="334">
        <v>0</v>
      </c>
    </row>
    <row r="19" spans="1:13" x14ac:dyDescent="0.3">
      <c r="A19" s="330">
        <v>14</v>
      </c>
      <c r="B19" s="331">
        <f>('TPWP Scenario Outputs'!B26-1)*'2010 Baseline Data'!$B$7</f>
        <v>-3.7298512945858618E-17</v>
      </c>
      <c r="C19" s="260">
        <f>ROUND(('TPWP Scenario Outputs'!C26-1)*'2010 Baseline Data'!$B$7,4)</f>
        <v>0</v>
      </c>
      <c r="D19" s="331">
        <f>('TPWP Scenario Outputs'!D26-1)*'2010 Baseline Data'!$B$11</f>
        <v>0</v>
      </c>
      <c r="E19" s="261">
        <f>ROUND(('TPWP Scenario Outputs'!E26-1)*'2010 Baseline Data'!$B$11,4)</f>
        <v>0</v>
      </c>
      <c r="F19" s="333">
        <f>('TPWP Scenario Outputs'!F26-1)*'2010 Baseline Data'!$B$13</f>
        <v>0</v>
      </c>
      <c r="G19" s="262">
        <f>ROUND(('TPWP Scenario Outputs'!G26-1)*'2010 Baseline Data'!$B$13,4)</f>
        <v>0</v>
      </c>
      <c r="H19" s="262">
        <f>ROUND('Other Sectors Outputs'!D35/'2010 Baseline Data'!C37,4)</f>
        <v>0</v>
      </c>
      <c r="I19" s="340">
        <f t="shared" si="0"/>
        <v>0</v>
      </c>
      <c r="M19" s="334">
        <v>0</v>
      </c>
    </row>
    <row r="20" spans="1:13" x14ac:dyDescent="0.3">
      <c r="A20" s="330">
        <v>15</v>
      </c>
      <c r="B20" s="331">
        <f>('TPWP Scenario Outputs'!B27-1)*'2010 Baseline Data'!$B$7</f>
        <v>-3.7298512945858618E-17</v>
      </c>
      <c r="C20" s="260">
        <f>ROUND(('TPWP Scenario Outputs'!C27-1)*'2010 Baseline Data'!$B$7,4)</f>
        <v>0</v>
      </c>
      <c r="D20" s="331">
        <f>('TPWP Scenario Outputs'!D27-1)*'2010 Baseline Data'!$B$11</f>
        <v>0</v>
      </c>
      <c r="E20" s="261">
        <f>ROUND(('TPWP Scenario Outputs'!E27-1)*'2010 Baseline Data'!$B$11,4)</f>
        <v>0</v>
      </c>
      <c r="F20" s="333">
        <f>('TPWP Scenario Outputs'!F27-1)*'2010 Baseline Data'!$B$13</f>
        <v>0</v>
      </c>
      <c r="G20" s="262">
        <f>ROUND(('TPWP Scenario Outputs'!G27-1)*'2010 Baseline Data'!$B$13,4)</f>
        <v>0</v>
      </c>
      <c r="H20" s="262">
        <f>ROUND('Other Sectors Outputs'!D36/'2010 Baseline Data'!C38,4)</f>
        <v>0</v>
      </c>
      <c r="I20" s="340">
        <f t="shared" si="0"/>
        <v>0</v>
      </c>
      <c r="M20" s="334">
        <v>0</v>
      </c>
    </row>
    <row r="21" spans="1:13" x14ac:dyDescent="0.3">
      <c r="A21" s="330">
        <v>16</v>
      </c>
      <c r="B21" s="331">
        <f>('TPWP Scenario Outputs'!B28-1)*'2010 Baseline Data'!$B$7</f>
        <v>0</v>
      </c>
      <c r="C21" s="260">
        <f>ROUND(('TPWP Scenario Outputs'!C28-1)*'2010 Baseline Data'!$B$7,4)</f>
        <v>0</v>
      </c>
      <c r="D21" s="331">
        <f>('TPWP Scenario Outputs'!D28-1)*'2010 Baseline Data'!$B$11</f>
        <v>0</v>
      </c>
      <c r="E21" s="261">
        <f>ROUND(('TPWP Scenario Outputs'!E28-1)*'2010 Baseline Data'!$B$11,4)</f>
        <v>0</v>
      </c>
      <c r="F21" s="333">
        <f>('TPWP Scenario Outputs'!F28-1)*'2010 Baseline Data'!$B$13</f>
        <v>0</v>
      </c>
      <c r="G21" s="262">
        <f>ROUND(('TPWP Scenario Outputs'!G28-1)*'2010 Baseline Data'!$B$13,4)</f>
        <v>0</v>
      </c>
      <c r="H21" s="262">
        <f>ROUND('Other Sectors Outputs'!D37/'2010 Baseline Data'!C39,4)</f>
        <v>0</v>
      </c>
      <c r="I21" s="340">
        <f t="shared" si="0"/>
        <v>0</v>
      </c>
      <c r="M21" s="334">
        <v>0</v>
      </c>
    </row>
    <row r="22" spans="1:13" x14ac:dyDescent="0.3">
      <c r="A22" s="330">
        <v>17</v>
      </c>
      <c r="B22" s="331">
        <f>('TPWP Scenario Outputs'!B29-1)*'2010 Baseline Data'!$B$7</f>
        <v>0</v>
      </c>
      <c r="C22" s="260">
        <f>ROUND(('TPWP Scenario Outputs'!C29-1)*'2010 Baseline Data'!$B$7,4)</f>
        <v>0</v>
      </c>
      <c r="D22" s="331">
        <f>('TPWP Scenario Outputs'!D29-1)*'2010 Baseline Data'!$B$11</f>
        <v>0</v>
      </c>
      <c r="E22" s="261">
        <f>ROUND(('TPWP Scenario Outputs'!E29-1)*'2010 Baseline Data'!$B$11,4)</f>
        <v>0</v>
      </c>
      <c r="F22" s="333">
        <f>('TPWP Scenario Outputs'!F29-1)*'2010 Baseline Data'!$B$13</f>
        <v>0</v>
      </c>
      <c r="G22" s="262">
        <f>ROUND(('TPWP Scenario Outputs'!G29-1)*'2010 Baseline Data'!$B$13,4)</f>
        <v>0</v>
      </c>
      <c r="H22" s="262">
        <f>ROUND('Other Sectors Outputs'!D38/'2010 Baseline Data'!C40,4)</f>
        <v>0</v>
      </c>
      <c r="I22" s="340">
        <f t="shared" si="0"/>
        <v>0</v>
      </c>
      <c r="M22" s="334">
        <v>0</v>
      </c>
    </row>
    <row r="23" spans="1:13" x14ac:dyDescent="0.3">
      <c r="A23" s="330">
        <v>18</v>
      </c>
      <c r="B23" s="331">
        <f>('TPWP Scenario Outputs'!B30-1)*'2010 Baseline Data'!$B$7</f>
        <v>-3.7298512945858618E-17</v>
      </c>
      <c r="C23" s="260">
        <f>ROUND(('TPWP Scenario Outputs'!C30-1)*'2010 Baseline Data'!$B$7,4)</f>
        <v>0</v>
      </c>
      <c r="D23" s="331">
        <f>('TPWP Scenario Outputs'!D30-1)*'2010 Baseline Data'!$B$11</f>
        <v>0</v>
      </c>
      <c r="E23" s="261">
        <f>ROUND(('TPWP Scenario Outputs'!E30-1)*'2010 Baseline Data'!$B$11,4)</f>
        <v>0</v>
      </c>
      <c r="F23" s="333">
        <f>('TPWP Scenario Outputs'!F30-1)*'2010 Baseline Data'!$B$13</f>
        <v>0</v>
      </c>
      <c r="G23" s="262">
        <f>ROUND(('TPWP Scenario Outputs'!G30-1)*'2010 Baseline Data'!$B$13,4)</f>
        <v>0</v>
      </c>
      <c r="H23" s="262">
        <f>ROUND('Other Sectors Outputs'!D39/'2010 Baseline Data'!C41,4)</f>
        <v>0</v>
      </c>
      <c r="I23" s="340">
        <f t="shared" si="0"/>
        <v>0</v>
      </c>
      <c r="M23" s="334">
        <v>0</v>
      </c>
    </row>
    <row r="24" spans="1:13" x14ac:dyDescent="0.3">
      <c r="A24" s="330">
        <v>19</v>
      </c>
      <c r="B24" s="331">
        <f>('TPWP Scenario Outputs'!B31-1)*'2010 Baseline Data'!$B$7</f>
        <v>0</v>
      </c>
      <c r="C24" s="260">
        <f>ROUND(('TPWP Scenario Outputs'!C31-1)*'2010 Baseline Data'!$B$7,4)</f>
        <v>0</v>
      </c>
      <c r="D24" s="331">
        <f>('TPWP Scenario Outputs'!D31-1)*'2010 Baseline Data'!$B$11</f>
        <v>0</v>
      </c>
      <c r="E24" s="261">
        <f>ROUND(('TPWP Scenario Outputs'!E31-1)*'2010 Baseline Data'!$B$11,4)</f>
        <v>0</v>
      </c>
      <c r="F24" s="333">
        <f>('TPWP Scenario Outputs'!F31-1)*'2010 Baseline Data'!$B$13</f>
        <v>0</v>
      </c>
      <c r="G24" s="262">
        <f>ROUND(('TPWP Scenario Outputs'!G31-1)*'2010 Baseline Data'!$B$13,4)</f>
        <v>0</v>
      </c>
      <c r="H24" s="262">
        <f>ROUND('Other Sectors Outputs'!D40/'2010 Baseline Data'!C42,4)</f>
        <v>0</v>
      </c>
      <c r="I24" s="340">
        <f t="shared" si="0"/>
        <v>0</v>
      </c>
      <c r="M24" s="334">
        <v>0</v>
      </c>
    </row>
    <row r="25" spans="1:13" x14ac:dyDescent="0.3">
      <c r="A25" s="330">
        <v>20</v>
      </c>
      <c r="B25" s="331">
        <f>('TPWP Scenario Outputs'!B32-1)*'2010 Baseline Data'!$B$7</f>
        <v>0</v>
      </c>
      <c r="C25" s="260">
        <f>ROUND(('TPWP Scenario Outputs'!C32-1)*'2010 Baseline Data'!$B$7,4)</f>
        <v>0</v>
      </c>
      <c r="D25" s="331">
        <f>('TPWP Scenario Outputs'!D32-1)*'2010 Baseline Data'!$B$11</f>
        <v>0</v>
      </c>
      <c r="E25" s="261">
        <f>ROUND(('TPWP Scenario Outputs'!E32-1)*'2010 Baseline Data'!$B$11,4)</f>
        <v>0</v>
      </c>
      <c r="F25" s="333">
        <f>('TPWP Scenario Outputs'!F32-1)*'2010 Baseline Data'!$B$13</f>
        <v>0</v>
      </c>
      <c r="G25" s="262">
        <f>ROUND(('TPWP Scenario Outputs'!G32-1)*'2010 Baseline Data'!$B$13,4)</f>
        <v>0</v>
      </c>
      <c r="H25" s="262">
        <f>ROUND('Other Sectors Outputs'!D41/'2010 Baseline Data'!C43,4)</f>
        <v>0</v>
      </c>
      <c r="I25" s="340">
        <f t="shared" si="0"/>
        <v>0</v>
      </c>
      <c r="M25" s="334">
        <v>0</v>
      </c>
    </row>
    <row r="26" spans="1:13" x14ac:dyDescent="0.3">
      <c r="A26" s="330">
        <v>21</v>
      </c>
      <c r="B26" s="331">
        <f>('TPWP Scenario Outputs'!B33-1)*'2010 Baseline Data'!$B$7</f>
        <v>0</v>
      </c>
      <c r="C26" s="260">
        <f>ROUND(('TPWP Scenario Outputs'!C33-1)*'2010 Baseline Data'!$B$7,4)</f>
        <v>0</v>
      </c>
      <c r="D26" s="331">
        <f>('TPWP Scenario Outputs'!D33-1)*'2010 Baseline Data'!$B$11</f>
        <v>0</v>
      </c>
      <c r="E26" s="261">
        <f>ROUND(('TPWP Scenario Outputs'!E33-1)*'2010 Baseline Data'!$B$11,4)</f>
        <v>0</v>
      </c>
      <c r="F26" s="333">
        <f>('TPWP Scenario Outputs'!F33-1)*'2010 Baseline Data'!$B$13</f>
        <v>0</v>
      </c>
      <c r="G26" s="262">
        <f>ROUND(('TPWP Scenario Outputs'!G33-1)*'2010 Baseline Data'!$B$13,4)</f>
        <v>0</v>
      </c>
      <c r="H26" s="262">
        <f>ROUND('Other Sectors Outputs'!D42/'2010 Baseline Data'!C44,4)</f>
        <v>0</v>
      </c>
      <c r="I26" s="340">
        <f t="shared" si="0"/>
        <v>0</v>
      </c>
      <c r="M26" s="334">
        <v>0</v>
      </c>
    </row>
    <row r="27" spans="1:13" x14ac:dyDescent="0.3">
      <c r="A27" s="330">
        <v>22</v>
      </c>
      <c r="B27" s="331">
        <f>('TPWP Scenario Outputs'!B34-1)*'2010 Baseline Data'!$B$7</f>
        <v>0</v>
      </c>
      <c r="C27" s="260">
        <f>ROUND(('TPWP Scenario Outputs'!C34-1)*'2010 Baseline Data'!$B$7,4)</f>
        <v>0</v>
      </c>
      <c r="D27" s="331">
        <f>('TPWP Scenario Outputs'!D34-1)*'2010 Baseline Data'!$B$11</f>
        <v>0</v>
      </c>
      <c r="E27" s="261">
        <f>ROUND(('TPWP Scenario Outputs'!E34-1)*'2010 Baseline Data'!$B$11,4)</f>
        <v>0</v>
      </c>
      <c r="F27" s="333">
        <f>('TPWP Scenario Outputs'!F34-1)*'2010 Baseline Data'!$B$13</f>
        <v>0</v>
      </c>
      <c r="G27" s="262">
        <f>ROUND(('TPWP Scenario Outputs'!G34-1)*'2010 Baseline Data'!$B$13,4)</f>
        <v>0</v>
      </c>
      <c r="H27" s="262">
        <f>ROUND('Other Sectors Outputs'!D43/'2010 Baseline Data'!C45,4)</f>
        <v>0</v>
      </c>
      <c r="I27" s="340">
        <f t="shared" si="0"/>
        <v>0</v>
      </c>
      <c r="M27" s="334">
        <v>0</v>
      </c>
    </row>
    <row r="28" spans="1:13" x14ac:dyDescent="0.3">
      <c r="A28" s="330">
        <v>23</v>
      </c>
      <c r="B28" s="331">
        <f>('TPWP Scenario Outputs'!B35-1)*'2010 Baseline Data'!$B$7</f>
        <v>-7.4597025891717237E-17</v>
      </c>
      <c r="C28" s="260">
        <f>ROUND(('TPWP Scenario Outputs'!C35-1)*'2010 Baseline Data'!$B$7,4)</f>
        <v>0</v>
      </c>
      <c r="D28" s="331">
        <f>('TPWP Scenario Outputs'!D35-1)*'2010 Baseline Data'!$B$11</f>
        <v>0</v>
      </c>
      <c r="E28" s="261">
        <f>ROUND(('TPWP Scenario Outputs'!E35-1)*'2010 Baseline Data'!$B$11,4)</f>
        <v>0</v>
      </c>
      <c r="F28" s="333">
        <f>('TPWP Scenario Outputs'!F35-1)*'2010 Baseline Data'!$B$13</f>
        <v>0</v>
      </c>
      <c r="G28" s="262">
        <f>ROUND(('TPWP Scenario Outputs'!G35-1)*'2010 Baseline Data'!$B$13,4)</f>
        <v>0</v>
      </c>
      <c r="H28" s="262">
        <f>ROUND('Other Sectors Outputs'!D44/'2010 Baseline Data'!C46,4)</f>
        <v>0</v>
      </c>
      <c r="I28" s="340">
        <f t="shared" si="0"/>
        <v>0</v>
      </c>
      <c r="M28" s="334">
        <v>0</v>
      </c>
    </row>
    <row r="29" spans="1:13" x14ac:dyDescent="0.3">
      <c r="A29" s="330">
        <v>24</v>
      </c>
      <c r="B29" s="331">
        <f>('TPWP Scenario Outputs'!B36-1)*'2010 Baseline Data'!$B$7</f>
        <v>-7.4597025891717237E-17</v>
      </c>
      <c r="C29" s="260">
        <f>ROUND(('TPWP Scenario Outputs'!C36-1)*'2010 Baseline Data'!$B$7,4)</f>
        <v>0</v>
      </c>
      <c r="D29" s="331">
        <f>('TPWP Scenario Outputs'!D36-1)*'2010 Baseline Data'!$B$11</f>
        <v>0</v>
      </c>
      <c r="E29" s="261">
        <f>ROUND(('TPWP Scenario Outputs'!E36-1)*'2010 Baseline Data'!$B$11,4)</f>
        <v>0</v>
      </c>
      <c r="F29" s="333">
        <f>('TPWP Scenario Outputs'!F36-1)*'2010 Baseline Data'!$B$13</f>
        <v>0</v>
      </c>
      <c r="G29" s="262">
        <f>ROUND(('TPWP Scenario Outputs'!G36-1)*'2010 Baseline Data'!$B$13,4)</f>
        <v>0</v>
      </c>
      <c r="H29" s="262">
        <f>ROUND('Other Sectors Outputs'!D45/'2010 Baseline Data'!C47,4)</f>
        <v>0</v>
      </c>
      <c r="I29" s="340">
        <f t="shared" si="0"/>
        <v>0</v>
      </c>
      <c r="M29" s="334">
        <v>0</v>
      </c>
    </row>
    <row r="30" spans="1:13" x14ac:dyDescent="0.3">
      <c r="A30" s="330">
        <v>25</v>
      </c>
      <c r="B30" s="331">
        <f>('TPWP Scenario Outputs'!B37-1)*'2010 Baseline Data'!$B$7</f>
        <v>0</v>
      </c>
      <c r="C30" s="260">
        <f>ROUND(('TPWP Scenario Outputs'!C37-1)*'2010 Baseline Data'!$B$7,4)</f>
        <v>0</v>
      </c>
      <c r="D30" s="331">
        <f>('TPWP Scenario Outputs'!D37-1)*'2010 Baseline Data'!$B$11</f>
        <v>0</v>
      </c>
      <c r="E30" s="261">
        <f>ROUND(('TPWP Scenario Outputs'!E37-1)*'2010 Baseline Data'!$B$11,4)</f>
        <v>0</v>
      </c>
      <c r="F30" s="333">
        <f>('TPWP Scenario Outputs'!F37-1)*'2010 Baseline Data'!$B$13</f>
        <v>0</v>
      </c>
      <c r="G30" s="262">
        <f>ROUND(('TPWP Scenario Outputs'!G37-1)*'2010 Baseline Data'!$B$13,4)</f>
        <v>0</v>
      </c>
      <c r="H30" s="262">
        <f>ROUND('Other Sectors Outputs'!D46/'2010 Baseline Data'!C48,4)</f>
        <v>0</v>
      </c>
      <c r="I30" s="340">
        <f t="shared" si="0"/>
        <v>0</v>
      </c>
      <c r="M30" s="334">
        <v>0</v>
      </c>
    </row>
    <row r="31" spans="1:13" x14ac:dyDescent="0.3">
      <c r="A31" s="330">
        <v>26</v>
      </c>
      <c r="B31" s="331">
        <f>('TPWP Scenario Outputs'!B38-1)*'2010 Baseline Data'!$B$7</f>
        <v>-7.4597025891717237E-17</v>
      </c>
      <c r="C31" s="260">
        <f>ROUND(('TPWP Scenario Outputs'!C38-1)*'2010 Baseline Data'!$B$7,4)</f>
        <v>0</v>
      </c>
      <c r="D31" s="331">
        <f>('TPWP Scenario Outputs'!D38-1)*'2010 Baseline Data'!$B$11</f>
        <v>0</v>
      </c>
      <c r="E31" s="261">
        <f>ROUND(('TPWP Scenario Outputs'!E38-1)*'2010 Baseline Data'!$B$11,4)</f>
        <v>0</v>
      </c>
      <c r="F31" s="333">
        <f>('TPWP Scenario Outputs'!F38-1)*'2010 Baseline Data'!$B$13</f>
        <v>0</v>
      </c>
      <c r="G31" s="262">
        <f>ROUND(('TPWP Scenario Outputs'!G38-1)*'2010 Baseline Data'!$B$13,4)</f>
        <v>0</v>
      </c>
      <c r="H31" s="262">
        <f>ROUND('Other Sectors Outputs'!D47/'2010 Baseline Data'!C49,4)</f>
        <v>0</v>
      </c>
      <c r="I31" s="340">
        <f t="shared" si="0"/>
        <v>0</v>
      </c>
      <c r="M31" s="334">
        <v>0</v>
      </c>
    </row>
    <row r="32" spans="1:13" x14ac:dyDescent="0.3">
      <c r="A32" s="330">
        <v>27</v>
      </c>
      <c r="B32" s="331">
        <f>('TPWP Scenario Outputs'!B39-1)*'2010 Baseline Data'!$B$7</f>
        <v>0</v>
      </c>
      <c r="C32" s="260">
        <f>ROUND(('TPWP Scenario Outputs'!C39-1)*'2010 Baseline Data'!$B$7,4)</f>
        <v>0</v>
      </c>
      <c r="D32" s="331">
        <f>('TPWP Scenario Outputs'!D39-1)*'2010 Baseline Data'!$B$11</f>
        <v>0</v>
      </c>
      <c r="E32" s="261">
        <f>ROUND(('TPWP Scenario Outputs'!E39-1)*'2010 Baseline Data'!$B$11,4)</f>
        <v>0</v>
      </c>
      <c r="F32" s="333">
        <f>('TPWP Scenario Outputs'!F39-1)*'2010 Baseline Data'!$B$13</f>
        <v>0</v>
      </c>
      <c r="G32" s="262">
        <f>ROUND(('TPWP Scenario Outputs'!G39-1)*'2010 Baseline Data'!$B$13,4)</f>
        <v>0</v>
      </c>
      <c r="H32" s="262">
        <f>ROUND('Other Sectors Outputs'!D48/'2010 Baseline Data'!C50,4)</f>
        <v>0</v>
      </c>
      <c r="I32" s="340">
        <f t="shared" si="0"/>
        <v>0</v>
      </c>
      <c r="M32" s="334">
        <v>0</v>
      </c>
    </row>
    <row r="33" spans="1:13" x14ac:dyDescent="0.3">
      <c r="A33" s="330">
        <v>28</v>
      </c>
      <c r="B33" s="331">
        <f>('TPWP Scenario Outputs'!B40-1)*'2010 Baseline Data'!$B$7</f>
        <v>-3.7298512945858618E-17</v>
      </c>
      <c r="C33" s="260">
        <f>ROUND(('TPWP Scenario Outputs'!C40-1)*'2010 Baseline Data'!$B$7,4)</f>
        <v>0</v>
      </c>
      <c r="D33" s="331">
        <f>('TPWP Scenario Outputs'!D40-1)*'2010 Baseline Data'!$B$11</f>
        <v>0</v>
      </c>
      <c r="E33" s="261">
        <f>ROUND(('TPWP Scenario Outputs'!E40-1)*'2010 Baseline Data'!$B$11,4)</f>
        <v>0</v>
      </c>
      <c r="F33" s="333">
        <f>('TPWP Scenario Outputs'!F40-1)*'2010 Baseline Data'!$B$13</f>
        <v>0</v>
      </c>
      <c r="G33" s="262">
        <f>ROUND(('TPWP Scenario Outputs'!G40-1)*'2010 Baseline Data'!$B$13,4)</f>
        <v>0</v>
      </c>
      <c r="H33" s="262">
        <f>ROUND('Other Sectors Outputs'!D49/'2010 Baseline Data'!C51,4)</f>
        <v>0</v>
      </c>
      <c r="I33" s="340">
        <f t="shared" si="0"/>
        <v>0</v>
      </c>
      <c r="M33" s="334">
        <v>0</v>
      </c>
    </row>
    <row r="34" spans="1:13" x14ac:dyDescent="0.3">
      <c r="A34" s="330">
        <v>29</v>
      </c>
      <c r="B34" s="331">
        <f>('TPWP Scenario Outputs'!B41-1)*'2010 Baseline Data'!$B$7</f>
        <v>-3.7298512945858618E-17</v>
      </c>
      <c r="C34" s="260">
        <f>ROUND(('TPWP Scenario Outputs'!C41-1)*'2010 Baseline Data'!$B$7,4)</f>
        <v>0</v>
      </c>
      <c r="D34" s="331">
        <f>('TPWP Scenario Outputs'!D41-1)*'2010 Baseline Data'!$B$11</f>
        <v>0</v>
      </c>
      <c r="E34" s="261">
        <f>ROUND(('TPWP Scenario Outputs'!E41-1)*'2010 Baseline Data'!$B$11,4)</f>
        <v>0</v>
      </c>
      <c r="F34" s="333">
        <f>('TPWP Scenario Outputs'!F41-1)*'2010 Baseline Data'!$B$13</f>
        <v>0</v>
      </c>
      <c r="G34" s="262">
        <f>ROUND(('TPWP Scenario Outputs'!G41-1)*'2010 Baseline Data'!$B$13,4)</f>
        <v>0</v>
      </c>
      <c r="H34" s="262">
        <f>ROUND('Other Sectors Outputs'!D50/'2010 Baseline Data'!C52,4)</f>
        <v>0</v>
      </c>
      <c r="I34" s="340">
        <f t="shared" si="0"/>
        <v>0</v>
      </c>
      <c r="M34" s="334">
        <v>0</v>
      </c>
    </row>
    <row r="35" spans="1:13" x14ac:dyDescent="0.3">
      <c r="A35" s="330">
        <v>30</v>
      </c>
      <c r="B35" s="331">
        <f>('TPWP Scenario Outputs'!B42-1)*'2010 Baseline Data'!$B$7</f>
        <v>0</v>
      </c>
      <c r="C35" s="260">
        <f>ROUND(('TPWP Scenario Outputs'!C42-1)*'2010 Baseline Data'!$B$7,4)</f>
        <v>0</v>
      </c>
      <c r="D35" s="331">
        <f>('TPWP Scenario Outputs'!D42-1)*'2010 Baseline Data'!$B$11</f>
        <v>0</v>
      </c>
      <c r="E35" s="261">
        <f>ROUND(('TPWP Scenario Outputs'!E42-1)*'2010 Baseline Data'!$B$11,4)</f>
        <v>0</v>
      </c>
      <c r="F35" s="333">
        <f>('TPWP Scenario Outputs'!F42-1)*'2010 Baseline Data'!$B$13</f>
        <v>0</v>
      </c>
      <c r="G35" s="262">
        <f>ROUND(('TPWP Scenario Outputs'!G42-1)*'2010 Baseline Data'!$B$13,4)</f>
        <v>0</v>
      </c>
      <c r="H35" s="262">
        <f>ROUND('Other Sectors Outputs'!D51/'2010 Baseline Data'!C53,4)</f>
        <v>0</v>
      </c>
      <c r="I35" s="340">
        <f t="shared" si="0"/>
        <v>0</v>
      </c>
      <c r="M35" s="334">
        <v>0</v>
      </c>
    </row>
    <row r="36" spans="1:13" x14ac:dyDescent="0.3">
      <c r="A36" s="330">
        <v>31</v>
      </c>
      <c r="B36" s="331">
        <f>('TPWP Scenario Outputs'!B43-1)*'2010 Baseline Data'!$B$7</f>
        <v>-3.7298512945858618E-17</v>
      </c>
      <c r="C36" s="260">
        <f>ROUND(('TPWP Scenario Outputs'!C43-1)*'2010 Baseline Data'!$B$7,4)</f>
        <v>0</v>
      </c>
      <c r="D36" s="331">
        <f>('TPWP Scenario Outputs'!D43-1)*'2010 Baseline Data'!$B$11</f>
        <v>0</v>
      </c>
      <c r="E36" s="261">
        <f>ROUND(('TPWP Scenario Outputs'!E43-1)*'2010 Baseline Data'!$B$11,4)</f>
        <v>0</v>
      </c>
      <c r="F36" s="333">
        <f>('TPWP Scenario Outputs'!F43-1)*'2010 Baseline Data'!$B$13</f>
        <v>0</v>
      </c>
      <c r="G36" s="262">
        <f>ROUND(('TPWP Scenario Outputs'!G43-1)*'2010 Baseline Data'!$B$13,4)</f>
        <v>0</v>
      </c>
      <c r="H36" s="262">
        <f>ROUND('Other Sectors Outputs'!D52/'2010 Baseline Data'!C54,4)</f>
        <v>0</v>
      </c>
      <c r="I36" s="340">
        <f t="shared" si="0"/>
        <v>0</v>
      </c>
      <c r="M36" s="334">
        <v>0</v>
      </c>
    </row>
    <row r="37" spans="1:13" x14ac:dyDescent="0.3">
      <c r="A37" s="330">
        <v>32</v>
      </c>
      <c r="B37" s="331">
        <f>('TPWP Scenario Outputs'!B44-1)*'2010 Baseline Data'!$B$7</f>
        <v>0</v>
      </c>
      <c r="C37" s="260">
        <f>ROUND(('TPWP Scenario Outputs'!C44-1)*'2010 Baseline Data'!$B$7,4)</f>
        <v>0</v>
      </c>
      <c r="D37" s="331">
        <f>('TPWP Scenario Outputs'!D44-1)*'2010 Baseline Data'!$B$11</f>
        <v>0</v>
      </c>
      <c r="E37" s="261">
        <f>ROUND(('TPWP Scenario Outputs'!E44-1)*'2010 Baseline Data'!$B$11,4)</f>
        <v>0</v>
      </c>
      <c r="F37" s="333">
        <f>('TPWP Scenario Outputs'!F44-1)*'2010 Baseline Data'!$B$13</f>
        <v>0</v>
      </c>
      <c r="G37" s="262">
        <f>ROUND(('TPWP Scenario Outputs'!G44-1)*'2010 Baseline Data'!$B$13,4)</f>
        <v>0</v>
      </c>
      <c r="H37" s="262">
        <f>ROUND('Other Sectors Outputs'!D53/'2010 Baseline Data'!C55,4)</f>
        <v>0</v>
      </c>
      <c r="I37" s="340">
        <f t="shared" si="0"/>
        <v>0</v>
      </c>
      <c r="M37" s="334">
        <v>0</v>
      </c>
    </row>
    <row r="38" spans="1:13" x14ac:dyDescent="0.3">
      <c r="A38" s="330">
        <v>33</v>
      </c>
      <c r="B38" s="331">
        <f>('TPWP Scenario Outputs'!B45-1)*'2010 Baseline Data'!$B$7</f>
        <v>-3.7298512945858618E-17</v>
      </c>
      <c r="C38" s="260">
        <f>ROUND(('TPWP Scenario Outputs'!C45-1)*'2010 Baseline Data'!$B$7,4)</f>
        <v>0</v>
      </c>
      <c r="D38" s="331">
        <f>('TPWP Scenario Outputs'!D45-1)*'2010 Baseline Data'!$B$11</f>
        <v>0</v>
      </c>
      <c r="E38" s="261">
        <f>ROUND(('TPWP Scenario Outputs'!E45-1)*'2010 Baseline Data'!$B$11,4)</f>
        <v>0</v>
      </c>
      <c r="F38" s="333">
        <f>('TPWP Scenario Outputs'!F45-1)*'2010 Baseline Data'!$B$13</f>
        <v>0</v>
      </c>
      <c r="G38" s="262">
        <f>ROUND(('TPWP Scenario Outputs'!G45-1)*'2010 Baseline Data'!$B$13,4)</f>
        <v>0</v>
      </c>
      <c r="H38" s="262">
        <f>ROUND('Other Sectors Outputs'!D54/'2010 Baseline Data'!C56,4)</f>
        <v>0</v>
      </c>
      <c r="I38" s="340">
        <f t="shared" si="0"/>
        <v>0</v>
      </c>
      <c r="M38" s="334">
        <v>0</v>
      </c>
    </row>
    <row r="39" spans="1:13" x14ac:dyDescent="0.3">
      <c r="A39" s="330">
        <v>34</v>
      </c>
      <c r="B39" s="331">
        <f>('TPWP Scenario Outputs'!B46-1)*'2010 Baseline Data'!$B$7</f>
        <v>0</v>
      </c>
      <c r="C39" s="260">
        <f>ROUND(('TPWP Scenario Outputs'!C46-1)*'2010 Baseline Data'!$B$7,4)</f>
        <v>0</v>
      </c>
      <c r="D39" s="331">
        <f>('TPWP Scenario Outputs'!D46-1)*'2010 Baseline Data'!$B$11</f>
        <v>0</v>
      </c>
      <c r="E39" s="261">
        <f>ROUND(('TPWP Scenario Outputs'!E46-1)*'2010 Baseline Data'!$B$11,4)</f>
        <v>0</v>
      </c>
      <c r="F39" s="333">
        <f>('TPWP Scenario Outputs'!F46-1)*'2010 Baseline Data'!$B$13</f>
        <v>0</v>
      </c>
      <c r="G39" s="262">
        <f>ROUND(('TPWP Scenario Outputs'!G46-1)*'2010 Baseline Data'!$B$13,4)</f>
        <v>0</v>
      </c>
      <c r="H39" s="262">
        <f>ROUND('Other Sectors Outputs'!D55/'2010 Baseline Data'!C57,4)</f>
        <v>0</v>
      </c>
      <c r="I39" s="340">
        <f t="shared" si="0"/>
        <v>0</v>
      </c>
      <c r="M39" s="334">
        <v>0</v>
      </c>
    </row>
    <row r="40" spans="1:13" x14ac:dyDescent="0.3">
      <c r="A40" s="330">
        <v>35</v>
      </c>
      <c r="B40" s="331">
        <f>('TPWP Scenario Outputs'!B47-1)*'2010 Baseline Data'!$B$7</f>
        <v>-3.7298512945858618E-17</v>
      </c>
      <c r="C40" s="260">
        <f>ROUND(('TPWP Scenario Outputs'!C47-1)*'2010 Baseline Data'!$B$7,4)</f>
        <v>0</v>
      </c>
      <c r="D40" s="331">
        <f>('TPWP Scenario Outputs'!D47-1)*'2010 Baseline Data'!$B$11</f>
        <v>0</v>
      </c>
      <c r="E40" s="261">
        <f>ROUND(('TPWP Scenario Outputs'!E47-1)*'2010 Baseline Data'!$B$11,4)</f>
        <v>0</v>
      </c>
      <c r="F40" s="333">
        <f>('TPWP Scenario Outputs'!F47-1)*'2010 Baseline Data'!$B$13</f>
        <v>0</v>
      </c>
      <c r="G40" s="262">
        <f>ROUND(('TPWP Scenario Outputs'!G47-1)*'2010 Baseline Data'!$B$13,4)</f>
        <v>0</v>
      </c>
      <c r="H40" s="262">
        <f>ROUND('Other Sectors Outputs'!D56/'2010 Baseline Data'!C58,4)</f>
        <v>0</v>
      </c>
      <c r="I40" s="340">
        <f t="shared" si="0"/>
        <v>0</v>
      </c>
      <c r="M40" s="334">
        <v>0</v>
      </c>
    </row>
    <row r="41" spans="1:13" x14ac:dyDescent="0.3">
      <c r="A41" s="330">
        <v>36</v>
      </c>
      <c r="B41" s="331">
        <f>('TPWP Scenario Outputs'!B48-1)*'2010 Baseline Data'!$B$7</f>
        <v>-7.4597025891717237E-17</v>
      </c>
      <c r="C41" s="260">
        <f>ROUND(('TPWP Scenario Outputs'!C48-1)*'2010 Baseline Data'!$B$7,4)</f>
        <v>0</v>
      </c>
      <c r="D41" s="331">
        <f>('TPWP Scenario Outputs'!D48-1)*'2010 Baseline Data'!$B$11</f>
        <v>0</v>
      </c>
      <c r="E41" s="261">
        <f>ROUND(('TPWP Scenario Outputs'!E48-1)*'2010 Baseline Data'!$B$11,4)</f>
        <v>0</v>
      </c>
      <c r="F41" s="333">
        <f>('TPWP Scenario Outputs'!F48-1)*'2010 Baseline Data'!$B$13</f>
        <v>0</v>
      </c>
      <c r="G41" s="262">
        <f>ROUND(('TPWP Scenario Outputs'!G48-1)*'2010 Baseline Data'!$B$13,4)</f>
        <v>0</v>
      </c>
      <c r="H41" s="262">
        <f>ROUND('Other Sectors Outputs'!D57/'2010 Baseline Data'!C59,4)</f>
        <v>0</v>
      </c>
      <c r="I41" s="340">
        <f t="shared" si="0"/>
        <v>0</v>
      </c>
      <c r="M41" s="334">
        <v>0</v>
      </c>
    </row>
    <row r="42" spans="1:13" x14ac:dyDescent="0.3">
      <c r="A42" s="330">
        <v>37</v>
      </c>
      <c r="B42" s="331">
        <f>('TPWP Scenario Outputs'!B49-1)*'2010 Baseline Data'!$B$7</f>
        <v>-3.7298512945858618E-17</v>
      </c>
      <c r="C42" s="260">
        <f>ROUND(('TPWP Scenario Outputs'!C49-1)*'2010 Baseline Data'!$B$7,4)</f>
        <v>0</v>
      </c>
      <c r="D42" s="331">
        <f>('TPWP Scenario Outputs'!D49-1)*'2010 Baseline Data'!$B$11</f>
        <v>0</v>
      </c>
      <c r="E42" s="261">
        <f>ROUND(('TPWP Scenario Outputs'!E49-1)*'2010 Baseline Data'!$B$11,4)</f>
        <v>0</v>
      </c>
      <c r="F42" s="333">
        <f>('TPWP Scenario Outputs'!F49-1)*'2010 Baseline Data'!$B$13</f>
        <v>0</v>
      </c>
      <c r="G42" s="262">
        <f>ROUND(('TPWP Scenario Outputs'!G49-1)*'2010 Baseline Data'!$B$13,4)</f>
        <v>0</v>
      </c>
      <c r="H42" s="262">
        <f>ROUND('Other Sectors Outputs'!D58/'2010 Baseline Data'!C60,4)</f>
        <v>0</v>
      </c>
      <c r="I42" s="340">
        <f t="shared" si="0"/>
        <v>0</v>
      </c>
      <c r="M42" s="334">
        <v>0</v>
      </c>
    </row>
    <row r="43" spans="1:13" x14ac:dyDescent="0.3">
      <c r="A43" s="330">
        <v>38</v>
      </c>
      <c r="B43" s="331">
        <f>('TPWP Scenario Outputs'!B50-1)*'2010 Baseline Data'!$B$7</f>
        <v>-3.7298512945858618E-17</v>
      </c>
      <c r="C43" s="260">
        <f>ROUND(('TPWP Scenario Outputs'!C50-1)*'2010 Baseline Data'!$B$7,4)</f>
        <v>0</v>
      </c>
      <c r="D43" s="331">
        <f>('TPWP Scenario Outputs'!D50-1)*'2010 Baseline Data'!$B$11</f>
        <v>0</v>
      </c>
      <c r="E43" s="261">
        <f>ROUND(('TPWP Scenario Outputs'!E50-1)*'2010 Baseline Data'!$B$11,4)</f>
        <v>0</v>
      </c>
      <c r="F43" s="333">
        <f>('TPWP Scenario Outputs'!F50-1)*'2010 Baseline Data'!$B$13</f>
        <v>0</v>
      </c>
      <c r="G43" s="262">
        <f>ROUND(('TPWP Scenario Outputs'!G50-1)*'2010 Baseline Data'!$B$13,4)</f>
        <v>0</v>
      </c>
      <c r="H43" s="262">
        <f>ROUND('Other Sectors Outputs'!D59/'2010 Baseline Data'!C61,4)</f>
        <v>0</v>
      </c>
      <c r="I43" s="340">
        <f t="shared" si="0"/>
        <v>0</v>
      </c>
      <c r="M43" s="334">
        <v>0</v>
      </c>
    </row>
    <row r="44" spans="1:13" x14ac:dyDescent="0.3">
      <c r="A44" s="330">
        <v>39</v>
      </c>
      <c r="B44" s="331">
        <f>('TPWP Scenario Outputs'!B51-1)*'2010 Baseline Data'!$B$7</f>
        <v>0</v>
      </c>
      <c r="C44" s="260">
        <f>ROUND(('TPWP Scenario Outputs'!C51-1)*'2010 Baseline Data'!$B$7,4)</f>
        <v>0</v>
      </c>
      <c r="D44" s="331">
        <f>('TPWP Scenario Outputs'!D51-1)*'2010 Baseline Data'!$B$11</f>
        <v>0</v>
      </c>
      <c r="E44" s="261">
        <f>ROUND(('TPWP Scenario Outputs'!E51-1)*'2010 Baseline Data'!$B$11,4)</f>
        <v>0</v>
      </c>
      <c r="F44" s="333">
        <f>('TPWP Scenario Outputs'!F51-1)*'2010 Baseline Data'!$B$13</f>
        <v>0</v>
      </c>
      <c r="G44" s="262">
        <f>ROUND(('TPWP Scenario Outputs'!G51-1)*'2010 Baseline Data'!$B$13,4)</f>
        <v>0</v>
      </c>
      <c r="H44" s="262">
        <f>ROUND('Other Sectors Outputs'!D60/'2010 Baseline Data'!C62,4)</f>
        <v>0</v>
      </c>
      <c r="I44" s="340">
        <f t="shared" si="0"/>
        <v>0</v>
      </c>
      <c r="M44" s="334">
        <v>0</v>
      </c>
    </row>
    <row r="45" spans="1:13" x14ac:dyDescent="0.3">
      <c r="A45" s="330">
        <v>40</v>
      </c>
      <c r="B45" s="331">
        <f>('TPWP Scenario Outputs'!B52-1)*'2010 Baseline Data'!$B$7</f>
        <v>-3.7298512945858618E-17</v>
      </c>
      <c r="C45" s="260">
        <f>ROUND(('TPWP Scenario Outputs'!C52-1)*'2010 Baseline Data'!$B$7,4)</f>
        <v>0</v>
      </c>
      <c r="D45" s="331">
        <f>('TPWP Scenario Outputs'!D52-1)*'2010 Baseline Data'!$B$11</f>
        <v>0</v>
      </c>
      <c r="E45" s="261">
        <f>ROUND(('TPWP Scenario Outputs'!E52-1)*'2010 Baseline Data'!$B$11,4)</f>
        <v>0</v>
      </c>
      <c r="F45" s="333">
        <f>('TPWP Scenario Outputs'!F52-1)*'2010 Baseline Data'!$B$13</f>
        <v>0</v>
      </c>
      <c r="G45" s="262">
        <f>ROUND(('TPWP Scenario Outputs'!G52-1)*'2010 Baseline Data'!$B$13,4)</f>
        <v>0</v>
      </c>
      <c r="H45" s="262">
        <f>ROUND('Other Sectors Outputs'!D61/'2010 Baseline Data'!C63,4)</f>
        <v>0</v>
      </c>
      <c r="I45" s="340">
        <f t="shared" si="0"/>
        <v>0</v>
      </c>
      <c r="M45" s="334">
        <v>0</v>
      </c>
    </row>
    <row r="46" spans="1:13" x14ac:dyDescent="0.3">
      <c r="A46" s="330">
        <v>41</v>
      </c>
      <c r="B46" s="331">
        <f>('TPWP Scenario Outputs'!B53-1)*'2010 Baseline Data'!$B$7</f>
        <v>-3.7298512945858618E-17</v>
      </c>
      <c r="C46" s="260">
        <f>ROUND(('TPWP Scenario Outputs'!C53-1)*'2010 Baseline Data'!$B$7,4)</f>
        <v>0</v>
      </c>
      <c r="D46" s="331">
        <f>('TPWP Scenario Outputs'!D53-1)*'2010 Baseline Data'!$B$11</f>
        <v>0</v>
      </c>
      <c r="E46" s="261">
        <f>ROUND(('TPWP Scenario Outputs'!E53-1)*'2010 Baseline Data'!$B$11,4)</f>
        <v>0</v>
      </c>
      <c r="F46" s="333">
        <f>('TPWP Scenario Outputs'!F53-1)*'2010 Baseline Data'!$B$13</f>
        <v>0</v>
      </c>
      <c r="G46" s="262">
        <f>ROUND(('TPWP Scenario Outputs'!G53-1)*'2010 Baseline Data'!$B$13,4)</f>
        <v>0</v>
      </c>
      <c r="H46" s="262">
        <f>ROUND('Other Sectors Outputs'!D62/'2010 Baseline Data'!C64,4)</f>
        <v>0</v>
      </c>
      <c r="I46" s="340">
        <f t="shared" si="0"/>
        <v>0</v>
      </c>
      <c r="M46" s="334">
        <v>0</v>
      </c>
    </row>
    <row r="47" spans="1:13" x14ac:dyDescent="0.3">
      <c r="A47" s="330">
        <v>42</v>
      </c>
      <c r="B47" s="331">
        <f>('TPWP Scenario Outputs'!B54-1)*'2010 Baseline Data'!$B$7</f>
        <v>0</v>
      </c>
      <c r="C47" s="260">
        <f>ROUND(('TPWP Scenario Outputs'!C54-1)*'2010 Baseline Data'!$B$7,4)</f>
        <v>0</v>
      </c>
      <c r="D47" s="331">
        <f>('TPWP Scenario Outputs'!D54-1)*'2010 Baseline Data'!$B$11</f>
        <v>0</v>
      </c>
      <c r="E47" s="261">
        <f>ROUND(('TPWP Scenario Outputs'!E54-1)*'2010 Baseline Data'!$B$11,4)</f>
        <v>0</v>
      </c>
      <c r="F47" s="333">
        <f>('TPWP Scenario Outputs'!F54-1)*'2010 Baseline Data'!$B$13</f>
        <v>0</v>
      </c>
      <c r="G47" s="262">
        <f>ROUND(('TPWP Scenario Outputs'!G54-1)*'2010 Baseline Data'!$B$13,4)</f>
        <v>0</v>
      </c>
      <c r="H47" s="262">
        <f>ROUND('Other Sectors Outputs'!D63/'2010 Baseline Data'!C65,4)</f>
        <v>0</v>
      </c>
      <c r="I47" s="340">
        <f t="shared" si="0"/>
        <v>0</v>
      </c>
      <c r="M47" s="334">
        <v>0</v>
      </c>
    </row>
    <row r="48" spans="1:13" x14ac:dyDescent="0.3">
      <c r="A48" s="330">
        <v>43</v>
      </c>
      <c r="B48" s="331">
        <f>('TPWP Scenario Outputs'!B55-1)*'2010 Baseline Data'!$B$7</f>
        <v>-3.7298512945858618E-17</v>
      </c>
      <c r="C48" s="260">
        <f>ROUND(('TPWP Scenario Outputs'!C55-1)*'2010 Baseline Data'!$B$7,4)</f>
        <v>0</v>
      </c>
      <c r="D48" s="331">
        <f>('TPWP Scenario Outputs'!D55-1)*'2010 Baseline Data'!$B$11</f>
        <v>0</v>
      </c>
      <c r="E48" s="261">
        <f>ROUND(('TPWP Scenario Outputs'!E55-1)*'2010 Baseline Data'!$B$11,4)</f>
        <v>0</v>
      </c>
      <c r="F48" s="333">
        <f>('TPWP Scenario Outputs'!F55-1)*'2010 Baseline Data'!$B$13</f>
        <v>0</v>
      </c>
      <c r="G48" s="262">
        <f>ROUND(('TPWP Scenario Outputs'!G55-1)*'2010 Baseline Data'!$B$13,4)</f>
        <v>0</v>
      </c>
      <c r="H48" s="262">
        <f>ROUND('Other Sectors Outputs'!D64/'2010 Baseline Data'!C66,4)</f>
        <v>0</v>
      </c>
      <c r="I48" s="340">
        <f t="shared" si="0"/>
        <v>0</v>
      </c>
      <c r="M48" s="334">
        <v>0</v>
      </c>
    </row>
    <row r="49" spans="1:13" x14ac:dyDescent="0.3">
      <c r="A49" s="330">
        <v>44</v>
      </c>
      <c r="B49" s="331">
        <f>('TPWP Scenario Outputs'!B56-1)*'2010 Baseline Data'!$B$7</f>
        <v>-3.7298512945858618E-17</v>
      </c>
      <c r="C49" s="260">
        <f>ROUND(('TPWP Scenario Outputs'!C56-1)*'2010 Baseline Data'!$B$7,4)</f>
        <v>0</v>
      </c>
      <c r="D49" s="331">
        <f>('TPWP Scenario Outputs'!D56-1)*'2010 Baseline Data'!$B$11</f>
        <v>0</v>
      </c>
      <c r="E49" s="261">
        <f>ROUND(('TPWP Scenario Outputs'!E56-1)*'2010 Baseline Data'!$B$11,4)</f>
        <v>0</v>
      </c>
      <c r="F49" s="333">
        <f>('TPWP Scenario Outputs'!F56-1)*'2010 Baseline Data'!$B$13</f>
        <v>0</v>
      </c>
      <c r="G49" s="262">
        <f>ROUND(('TPWP Scenario Outputs'!G56-1)*'2010 Baseline Data'!$B$13,4)</f>
        <v>0</v>
      </c>
      <c r="H49" s="262">
        <f>ROUND('Other Sectors Outputs'!D65/'2010 Baseline Data'!C67,4)</f>
        <v>0</v>
      </c>
      <c r="I49" s="340">
        <f t="shared" si="0"/>
        <v>0</v>
      </c>
      <c r="M49" s="334">
        <v>0</v>
      </c>
    </row>
    <row r="50" spans="1:13" x14ac:dyDescent="0.3">
      <c r="A50" s="330">
        <v>45</v>
      </c>
      <c r="B50" s="331">
        <f>('TPWP Scenario Outputs'!B57-1)*'2010 Baseline Data'!$B$7</f>
        <v>-3.7298512945858618E-17</v>
      </c>
      <c r="C50" s="260">
        <f>ROUND(('TPWP Scenario Outputs'!C57-1)*'2010 Baseline Data'!$B$7,4)</f>
        <v>0</v>
      </c>
      <c r="D50" s="331">
        <f>('TPWP Scenario Outputs'!D57-1)*'2010 Baseline Data'!$B$11</f>
        <v>0</v>
      </c>
      <c r="E50" s="261">
        <f>ROUND(('TPWP Scenario Outputs'!E57-1)*'2010 Baseline Data'!$B$11,4)</f>
        <v>0</v>
      </c>
      <c r="F50" s="333">
        <f>('TPWP Scenario Outputs'!F57-1)*'2010 Baseline Data'!$B$13</f>
        <v>0</v>
      </c>
      <c r="G50" s="262">
        <f>ROUND(('TPWP Scenario Outputs'!G57-1)*'2010 Baseline Data'!$B$13,4)</f>
        <v>0</v>
      </c>
      <c r="H50" s="262">
        <f>ROUND('Other Sectors Outputs'!D66/'2010 Baseline Data'!C68,4)</f>
        <v>0</v>
      </c>
      <c r="I50" s="340">
        <f t="shared" si="0"/>
        <v>0</v>
      </c>
      <c r="M50" s="334">
        <v>0</v>
      </c>
    </row>
    <row r="51" spans="1:13" x14ac:dyDescent="0.3">
      <c r="A51" s="330">
        <v>46</v>
      </c>
      <c r="B51" s="331">
        <f>('TPWP Scenario Outputs'!B58-1)*'2010 Baseline Data'!$B$7</f>
        <v>-3.7298512945858618E-17</v>
      </c>
      <c r="C51" s="260">
        <f>ROUND(('TPWP Scenario Outputs'!C58-1)*'2010 Baseline Data'!$B$7,4)</f>
        <v>0</v>
      </c>
      <c r="D51" s="331">
        <f>('TPWP Scenario Outputs'!D58-1)*'2010 Baseline Data'!$B$11</f>
        <v>0</v>
      </c>
      <c r="E51" s="261">
        <f>ROUND(('TPWP Scenario Outputs'!E58-1)*'2010 Baseline Data'!$B$11,4)</f>
        <v>0</v>
      </c>
      <c r="F51" s="333">
        <f>('TPWP Scenario Outputs'!F58-1)*'2010 Baseline Data'!$B$13</f>
        <v>0</v>
      </c>
      <c r="G51" s="262">
        <f>ROUND(('TPWP Scenario Outputs'!G58-1)*'2010 Baseline Data'!$B$13,4)</f>
        <v>0</v>
      </c>
      <c r="H51" s="262">
        <f>ROUND('Other Sectors Outputs'!D67/'2010 Baseline Data'!C69,4)</f>
        <v>0</v>
      </c>
      <c r="I51" s="340">
        <f t="shared" si="0"/>
        <v>0</v>
      </c>
      <c r="M51" s="334">
        <v>0</v>
      </c>
    </row>
    <row r="52" spans="1:13" x14ac:dyDescent="0.3">
      <c r="A52" s="330">
        <v>47</v>
      </c>
      <c r="B52" s="331">
        <f>('TPWP Scenario Outputs'!B59-1)*'2010 Baseline Data'!$B$7</f>
        <v>0</v>
      </c>
      <c r="C52" s="260">
        <f>ROUND(('TPWP Scenario Outputs'!C59-1)*'2010 Baseline Data'!$B$7,4)</f>
        <v>0</v>
      </c>
      <c r="D52" s="331">
        <f>('TPWP Scenario Outputs'!D59-1)*'2010 Baseline Data'!$B$11</f>
        <v>0</v>
      </c>
      <c r="E52" s="261">
        <f>ROUND(('TPWP Scenario Outputs'!E59-1)*'2010 Baseline Data'!$B$11,4)</f>
        <v>0</v>
      </c>
      <c r="F52" s="333">
        <f>('TPWP Scenario Outputs'!F59-1)*'2010 Baseline Data'!$B$13</f>
        <v>0</v>
      </c>
      <c r="G52" s="262">
        <f>ROUND(('TPWP Scenario Outputs'!G59-1)*'2010 Baseline Data'!$B$13,4)</f>
        <v>0</v>
      </c>
      <c r="H52" s="262">
        <f>ROUND('Other Sectors Outputs'!D68/'2010 Baseline Data'!C70,4)</f>
        <v>0</v>
      </c>
      <c r="I52" s="340">
        <f t="shared" si="0"/>
        <v>0</v>
      </c>
      <c r="M52" s="334">
        <v>0</v>
      </c>
    </row>
    <row r="53" spans="1:13" x14ac:dyDescent="0.3">
      <c r="A53" s="330">
        <v>48</v>
      </c>
      <c r="B53" s="331">
        <f>('TPWP Scenario Outputs'!B60-1)*'2010 Baseline Data'!$B$7</f>
        <v>0</v>
      </c>
      <c r="C53" s="260">
        <f>ROUND(('TPWP Scenario Outputs'!C60-1)*'2010 Baseline Data'!$B$7,4)</f>
        <v>0</v>
      </c>
      <c r="D53" s="331">
        <f>('TPWP Scenario Outputs'!D60-1)*'2010 Baseline Data'!$B$11</f>
        <v>0</v>
      </c>
      <c r="E53" s="261">
        <f>ROUND(('TPWP Scenario Outputs'!E60-1)*'2010 Baseline Data'!$B$11,4)</f>
        <v>0</v>
      </c>
      <c r="F53" s="333">
        <f>('TPWP Scenario Outputs'!F60-1)*'2010 Baseline Data'!$B$13</f>
        <v>0</v>
      </c>
      <c r="G53" s="262">
        <f>ROUND(('TPWP Scenario Outputs'!G60-1)*'2010 Baseline Data'!$B$13,4)</f>
        <v>0</v>
      </c>
      <c r="H53" s="262">
        <f>ROUND('Other Sectors Outputs'!D69/'2010 Baseline Data'!C71,4)</f>
        <v>0</v>
      </c>
      <c r="I53" s="340">
        <f t="shared" si="0"/>
        <v>0</v>
      </c>
      <c r="M53" s="334">
        <v>0</v>
      </c>
    </row>
    <row r="54" spans="1:13" x14ac:dyDescent="0.3">
      <c r="A54" s="330">
        <v>49</v>
      </c>
      <c r="B54" s="331">
        <f>('TPWP Scenario Outputs'!B61-1)*'2010 Baseline Data'!$B$7</f>
        <v>-7.4597025891717237E-17</v>
      </c>
      <c r="C54" s="260">
        <f>ROUND(('TPWP Scenario Outputs'!C61-1)*'2010 Baseline Data'!$B$7,4)</f>
        <v>0</v>
      </c>
      <c r="D54" s="331">
        <f>('TPWP Scenario Outputs'!D61-1)*'2010 Baseline Data'!$B$11</f>
        <v>0</v>
      </c>
      <c r="E54" s="261">
        <f>ROUND(('TPWP Scenario Outputs'!E61-1)*'2010 Baseline Data'!$B$11,4)</f>
        <v>0</v>
      </c>
      <c r="F54" s="333">
        <f>('TPWP Scenario Outputs'!F61-1)*'2010 Baseline Data'!$B$13</f>
        <v>0</v>
      </c>
      <c r="G54" s="262">
        <f>ROUND(('TPWP Scenario Outputs'!G61-1)*'2010 Baseline Data'!$B$13,4)</f>
        <v>0</v>
      </c>
      <c r="H54" s="262">
        <f>ROUND('Other Sectors Outputs'!D70/'2010 Baseline Data'!C72,4)</f>
        <v>0</v>
      </c>
      <c r="I54" s="340">
        <f t="shared" si="0"/>
        <v>0</v>
      </c>
      <c r="M54" s="334">
        <v>0</v>
      </c>
    </row>
    <row r="55" spans="1:13" x14ac:dyDescent="0.3">
      <c r="A55" s="330">
        <v>50</v>
      </c>
      <c r="B55" s="331">
        <f>('TPWP Scenario Outputs'!B62-1)*'2010 Baseline Data'!$B$7</f>
        <v>0</v>
      </c>
      <c r="C55" s="260">
        <f>ROUND(('TPWP Scenario Outputs'!C62-1)*'2010 Baseline Data'!$B$7,4)</f>
        <v>0</v>
      </c>
      <c r="D55" s="331">
        <f>('TPWP Scenario Outputs'!D62-1)*'2010 Baseline Data'!$B$11</f>
        <v>0</v>
      </c>
      <c r="E55" s="261">
        <f>ROUND(('TPWP Scenario Outputs'!E62-1)*'2010 Baseline Data'!$B$11,4)</f>
        <v>0</v>
      </c>
      <c r="F55" s="333">
        <f>('TPWP Scenario Outputs'!F62-1)*'2010 Baseline Data'!$B$13</f>
        <v>0</v>
      </c>
      <c r="G55" s="262">
        <f>ROUND(('TPWP Scenario Outputs'!G62-1)*'2010 Baseline Data'!$B$13,4)</f>
        <v>0</v>
      </c>
      <c r="H55" s="262">
        <f>ROUND('Other Sectors Outputs'!D71/'2010 Baseline Data'!C73,4)</f>
        <v>0</v>
      </c>
      <c r="I55" s="340">
        <f t="shared" si="0"/>
        <v>0</v>
      </c>
      <c r="M55" s="334">
        <v>0</v>
      </c>
    </row>
    <row r="56" spans="1:13" x14ac:dyDescent="0.3">
      <c r="A56" s="330">
        <v>51</v>
      </c>
      <c r="B56" s="331">
        <f>('TPWP Scenario Outputs'!B63-1)*'2010 Baseline Data'!$B$7</f>
        <v>-7.4597025891717237E-17</v>
      </c>
      <c r="C56" s="260">
        <f>ROUND(('TPWP Scenario Outputs'!C63-1)*'2010 Baseline Data'!$B$7,4)</f>
        <v>0</v>
      </c>
      <c r="D56" s="331">
        <f>('TPWP Scenario Outputs'!D63-1)*'2010 Baseline Data'!$B$11</f>
        <v>0</v>
      </c>
      <c r="E56" s="261">
        <f>ROUND(('TPWP Scenario Outputs'!E63-1)*'2010 Baseline Data'!$B$11,4)</f>
        <v>0</v>
      </c>
      <c r="F56" s="333">
        <f>('TPWP Scenario Outputs'!F63-1)*'2010 Baseline Data'!$B$13</f>
        <v>0</v>
      </c>
      <c r="G56" s="262">
        <f>ROUND(('TPWP Scenario Outputs'!G63-1)*'2010 Baseline Data'!$B$13,4)</f>
        <v>0</v>
      </c>
      <c r="H56" s="262">
        <f>ROUND('Other Sectors Outputs'!D72/'2010 Baseline Data'!C74,4)</f>
        <v>0</v>
      </c>
      <c r="I56" s="340">
        <f t="shared" si="0"/>
        <v>0</v>
      </c>
      <c r="M56" s="334">
        <v>0</v>
      </c>
    </row>
    <row r="57" spans="1:13" x14ac:dyDescent="0.3">
      <c r="A57" s="330">
        <v>52</v>
      </c>
      <c r="B57" s="331">
        <f>('TPWP Scenario Outputs'!B64-1)*'2010 Baseline Data'!$B$7</f>
        <v>0</v>
      </c>
      <c r="C57" s="260">
        <f>ROUND(('TPWP Scenario Outputs'!C64-1)*'2010 Baseline Data'!$B$7,4)</f>
        <v>0</v>
      </c>
      <c r="D57" s="331">
        <f>('TPWP Scenario Outputs'!D64-1)*'2010 Baseline Data'!$B$11</f>
        <v>0</v>
      </c>
      <c r="E57" s="261">
        <f>ROUND(('TPWP Scenario Outputs'!E64-1)*'2010 Baseline Data'!$B$11,4)</f>
        <v>0</v>
      </c>
      <c r="F57" s="333">
        <f>('TPWP Scenario Outputs'!F64-1)*'2010 Baseline Data'!$B$13</f>
        <v>0</v>
      </c>
      <c r="G57" s="262">
        <f>ROUND(('TPWP Scenario Outputs'!G64-1)*'2010 Baseline Data'!$B$13,4)</f>
        <v>0</v>
      </c>
      <c r="H57" s="262">
        <f>ROUND('Other Sectors Outputs'!D73/'2010 Baseline Data'!C75,4)</f>
        <v>0</v>
      </c>
      <c r="I57" s="340">
        <f t="shared" si="0"/>
        <v>0</v>
      </c>
      <c r="M57" s="334">
        <v>0</v>
      </c>
    </row>
    <row r="58" spans="1:13" x14ac:dyDescent="0.3">
      <c r="A58" s="330">
        <v>53</v>
      </c>
      <c r="B58" s="331">
        <f>('TPWP Scenario Outputs'!B65-1)*'2010 Baseline Data'!$B$7</f>
        <v>-7.4597025891717237E-17</v>
      </c>
      <c r="C58" s="260">
        <f>ROUND(('TPWP Scenario Outputs'!C65-1)*'2010 Baseline Data'!$B$7,4)</f>
        <v>0</v>
      </c>
      <c r="D58" s="331">
        <f>('TPWP Scenario Outputs'!D65-1)*'2010 Baseline Data'!$B$11</f>
        <v>0</v>
      </c>
      <c r="E58" s="261">
        <f>ROUND(('TPWP Scenario Outputs'!E65-1)*'2010 Baseline Data'!$B$11,4)</f>
        <v>0</v>
      </c>
      <c r="F58" s="333">
        <f>('TPWP Scenario Outputs'!F65-1)*'2010 Baseline Data'!$B$13</f>
        <v>0</v>
      </c>
      <c r="G58" s="262">
        <f>ROUND(('TPWP Scenario Outputs'!G65-1)*'2010 Baseline Data'!$B$13,4)</f>
        <v>0</v>
      </c>
      <c r="H58" s="262">
        <f>ROUND('Other Sectors Outputs'!D74/'2010 Baseline Data'!C76,4)</f>
        <v>0</v>
      </c>
      <c r="I58" s="340">
        <f t="shared" si="0"/>
        <v>0</v>
      </c>
      <c r="M58" s="334">
        <v>0</v>
      </c>
    </row>
    <row r="59" spans="1:13" x14ac:dyDescent="0.3">
      <c r="A59" s="330">
        <v>54</v>
      </c>
      <c r="B59" s="331">
        <f>('TPWP Scenario Outputs'!B66-1)*'2010 Baseline Data'!$B$7</f>
        <v>0</v>
      </c>
      <c r="C59" s="260">
        <f>ROUND(('TPWP Scenario Outputs'!C66-1)*'2010 Baseline Data'!$B$7,4)</f>
        <v>0</v>
      </c>
      <c r="D59" s="331">
        <f>('TPWP Scenario Outputs'!D66-1)*'2010 Baseline Data'!$B$11</f>
        <v>0</v>
      </c>
      <c r="E59" s="261">
        <f>ROUND(('TPWP Scenario Outputs'!E66-1)*'2010 Baseline Data'!$B$11,4)</f>
        <v>0</v>
      </c>
      <c r="F59" s="333">
        <f>('TPWP Scenario Outputs'!F66-1)*'2010 Baseline Data'!$B$13</f>
        <v>0</v>
      </c>
      <c r="G59" s="262">
        <f>ROUND(('TPWP Scenario Outputs'!G66-1)*'2010 Baseline Data'!$B$13,4)</f>
        <v>0</v>
      </c>
      <c r="H59" s="262">
        <f>ROUND('Other Sectors Outputs'!D75/'2010 Baseline Data'!C77,4)</f>
        <v>0</v>
      </c>
      <c r="I59" s="340">
        <f t="shared" si="0"/>
        <v>0</v>
      </c>
      <c r="M59" s="334">
        <v>0</v>
      </c>
    </row>
    <row r="60" spans="1:13" x14ac:dyDescent="0.3">
      <c r="A60" s="330">
        <v>55</v>
      </c>
      <c r="B60" s="331">
        <f>('TPWP Scenario Outputs'!B67-1)*'2010 Baseline Data'!$B$7</f>
        <v>-7.4597025891717237E-17</v>
      </c>
      <c r="C60" s="260">
        <f>ROUND(('TPWP Scenario Outputs'!C67-1)*'2010 Baseline Data'!$B$7,4)</f>
        <v>0</v>
      </c>
      <c r="D60" s="331">
        <f>('TPWP Scenario Outputs'!D67-1)*'2010 Baseline Data'!$B$11</f>
        <v>0</v>
      </c>
      <c r="E60" s="261">
        <f>ROUND(('TPWP Scenario Outputs'!E67-1)*'2010 Baseline Data'!$B$11,4)</f>
        <v>0</v>
      </c>
      <c r="F60" s="333">
        <f>('TPWP Scenario Outputs'!F67-1)*'2010 Baseline Data'!$B$13</f>
        <v>0</v>
      </c>
      <c r="G60" s="262">
        <f>ROUND(('TPWP Scenario Outputs'!G67-1)*'2010 Baseline Data'!$B$13,4)</f>
        <v>0</v>
      </c>
      <c r="H60" s="262">
        <f>ROUND('Other Sectors Outputs'!D76/'2010 Baseline Data'!C78,4)</f>
        <v>0</v>
      </c>
      <c r="I60" s="340">
        <f t="shared" si="0"/>
        <v>0</v>
      </c>
      <c r="M60" s="334">
        <v>0</v>
      </c>
    </row>
    <row r="61" spans="1:13" x14ac:dyDescent="0.3">
      <c r="A61" s="330">
        <v>56</v>
      </c>
      <c r="B61" s="331">
        <f>('TPWP Scenario Outputs'!B68-1)*'2010 Baseline Data'!$B$7</f>
        <v>-7.4597025891717237E-17</v>
      </c>
      <c r="C61" s="260">
        <f>ROUND(('TPWP Scenario Outputs'!C68-1)*'2010 Baseline Data'!$B$7,4)</f>
        <v>0</v>
      </c>
      <c r="D61" s="331">
        <f>('TPWP Scenario Outputs'!D68-1)*'2010 Baseline Data'!$B$11</f>
        <v>0</v>
      </c>
      <c r="E61" s="261">
        <f>ROUND(('TPWP Scenario Outputs'!E68-1)*'2010 Baseline Data'!$B$11,4)</f>
        <v>0</v>
      </c>
      <c r="F61" s="333">
        <f>('TPWP Scenario Outputs'!F68-1)*'2010 Baseline Data'!$B$13</f>
        <v>0</v>
      </c>
      <c r="G61" s="262">
        <f>ROUND(('TPWP Scenario Outputs'!G68-1)*'2010 Baseline Data'!$B$13,4)</f>
        <v>0</v>
      </c>
      <c r="H61" s="262">
        <f>ROUND('Other Sectors Outputs'!D77/'2010 Baseline Data'!C79,4)</f>
        <v>0</v>
      </c>
      <c r="I61" s="340">
        <f t="shared" si="0"/>
        <v>0</v>
      </c>
      <c r="M61" s="334">
        <v>0</v>
      </c>
    </row>
    <row r="62" spans="1:13" x14ac:dyDescent="0.3">
      <c r="A62" s="330">
        <v>57</v>
      </c>
      <c r="B62" s="331">
        <f>('TPWP Scenario Outputs'!B69-1)*'2010 Baseline Data'!$B$7</f>
        <v>-7.4597025891717237E-17</v>
      </c>
      <c r="C62" s="260">
        <f>ROUND(('TPWP Scenario Outputs'!C69-1)*'2010 Baseline Data'!$B$7,4)</f>
        <v>0</v>
      </c>
      <c r="D62" s="331">
        <f>('TPWP Scenario Outputs'!D69-1)*'2010 Baseline Data'!$B$11</f>
        <v>0</v>
      </c>
      <c r="E62" s="261">
        <f>ROUND(('TPWP Scenario Outputs'!E69-1)*'2010 Baseline Data'!$B$11,4)</f>
        <v>0</v>
      </c>
      <c r="F62" s="333">
        <f>('TPWP Scenario Outputs'!F69-1)*'2010 Baseline Data'!$B$13</f>
        <v>0</v>
      </c>
      <c r="G62" s="262">
        <f>ROUND(('TPWP Scenario Outputs'!G69-1)*'2010 Baseline Data'!$B$13,4)</f>
        <v>0</v>
      </c>
      <c r="H62" s="262">
        <f>ROUND('Other Sectors Outputs'!D78/'2010 Baseline Data'!C80,4)</f>
        <v>0</v>
      </c>
      <c r="I62" s="340">
        <f t="shared" si="0"/>
        <v>0</v>
      </c>
      <c r="M62" s="334">
        <v>0</v>
      </c>
    </row>
    <row r="63" spans="1:13" x14ac:dyDescent="0.3">
      <c r="A63" s="330">
        <v>58</v>
      </c>
      <c r="B63" s="331">
        <f>('TPWP Scenario Outputs'!B70-1)*'2010 Baseline Data'!$B$7</f>
        <v>-7.4597025891717237E-17</v>
      </c>
      <c r="C63" s="260">
        <f>ROUND(('TPWP Scenario Outputs'!C70-1)*'2010 Baseline Data'!$B$7,4)</f>
        <v>0</v>
      </c>
      <c r="D63" s="331">
        <f>('TPWP Scenario Outputs'!D70-1)*'2010 Baseline Data'!$B$11</f>
        <v>0</v>
      </c>
      <c r="E63" s="261">
        <f>ROUND(('TPWP Scenario Outputs'!E70-1)*'2010 Baseline Data'!$B$11,4)</f>
        <v>0</v>
      </c>
      <c r="F63" s="333">
        <f>('TPWP Scenario Outputs'!F70-1)*'2010 Baseline Data'!$B$13</f>
        <v>0</v>
      </c>
      <c r="G63" s="262">
        <f>ROUND(('TPWP Scenario Outputs'!G70-1)*'2010 Baseline Data'!$B$13,4)</f>
        <v>0</v>
      </c>
      <c r="H63" s="262">
        <f>ROUND('Other Sectors Outputs'!D79/'2010 Baseline Data'!C81,4)</f>
        <v>0</v>
      </c>
      <c r="I63" s="340">
        <f t="shared" si="0"/>
        <v>0</v>
      </c>
      <c r="M63" s="334">
        <v>0</v>
      </c>
    </row>
    <row r="64" spans="1:13" x14ac:dyDescent="0.3">
      <c r="A64" s="330">
        <v>59</v>
      </c>
      <c r="B64" s="331">
        <f>('TPWP Scenario Outputs'!B71-1)*'2010 Baseline Data'!$B$7</f>
        <v>-7.4597025891717237E-17</v>
      </c>
      <c r="C64" s="260">
        <f>ROUND(('TPWP Scenario Outputs'!C71-1)*'2010 Baseline Data'!$B$7,4)</f>
        <v>0</v>
      </c>
      <c r="D64" s="331">
        <f>('TPWP Scenario Outputs'!D71-1)*'2010 Baseline Data'!$B$11</f>
        <v>0</v>
      </c>
      <c r="E64" s="261">
        <f>ROUND(('TPWP Scenario Outputs'!E71-1)*'2010 Baseline Data'!$B$11,4)</f>
        <v>0</v>
      </c>
      <c r="F64" s="333">
        <f>('TPWP Scenario Outputs'!F71-1)*'2010 Baseline Data'!$B$13</f>
        <v>0</v>
      </c>
      <c r="G64" s="262">
        <f>ROUND(('TPWP Scenario Outputs'!G71-1)*'2010 Baseline Data'!$B$13,4)</f>
        <v>0</v>
      </c>
      <c r="H64" s="262">
        <f>ROUND('Other Sectors Outputs'!D80/'2010 Baseline Data'!C82,4)</f>
        <v>0</v>
      </c>
      <c r="I64" s="340">
        <f t="shared" si="0"/>
        <v>0</v>
      </c>
      <c r="M64" s="334">
        <v>0</v>
      </c>
    </row>
    <row r="65" spans="1:13" x14ac:dyDescent="0.3">
      <c r="A65" s="330">
        <v>60</v>
      </c>
      <c r="B65" s="331">
        <f>('TPWP Scenario Outputs'!B72-1)*'2010 Baseline Data'!$B$7</f>
        <v>0</v>
      </c>
      <c r="C65" s="260">
        <f>ROUND(('TPWP Scenario Outputs'!C72-1)*'2010 Baseline Data'!$B$7,4)</f>
        <v>0</v>
      </c>
      <c r="D65" s="331">
        <f>('TPWP Scenario Outputs'!D72-1)*'2010 Baseline Data'!$B$11</f>
        <v>0</v>
      </c>
      <c r="E65" s="261">
        <f>ROUND(('TPWP Scenario Outputs'!E72-1)*'2010 Baseline Data'!$B$11,4)</f>
        <v>0</v>
      </c>
      <c r="F65" s="333">
        <f>('TPWP Scenario Outputs'!F72-1)*'2010 Baseline Data'!$B$13</f>
        <v>0</v>
      </c>
      <c r="G65" s="262">
        <f>ROUND(('TPWP Scenario Outputs'!G72-1)*'2010 Baseline Data'!$B$13,4)</f>
        <v>0</v>
      </c>
      <c r="H65" s="262">
        <f>ROUND('Other Sectors Outputs'!D81/'2010 Baseline Data'!C83,4)</f>
        <v>0</v>
      </c>
      <c r="I65" s="340">
        <f t="shared" si="0"/>
        <v>0</v>
      </c>
      <c r="M65" s="334">
        <v>0</v>
      </c>
    </row>
    <row r="66" spans="1:13" x14ac:dyDescent="0.3">
      <c r="A66" s="330">
        <v>61</v>
      </c>
      <c r="B66" s="331">
        <f>('TPWP Scenario Outputs'!B73-1)*'2010 Baseline Data'!$B$7</f>
        <v>-7.4597025891717237E-17</v>
      </c>
      <c r="C66" s="260">
        <f>ROUND(('TPWP Scenario Outputs'!C73-1)*'2010 Baseline Data'!$B$7,4)</f>
        <v>0</v>
      </c>
      <c r="D66" s="331">
        <f>('TPWP Scenario Outputs'!D73-1)*'2010 Baseline Data'!$B$11</f>
        <v>0</v>
      </c>
      <c r="E66" s="261">
        <f>ROUND(('TPWP Scenario Outputs'!E73-1)*'2010 Baseline Data'!$B$11,4)</f>
        <v>0</v>
      </c>
      <c r="F66" s="333">
        <f>('TPWP Scenario Outputs'!F73-1)*'2010 Baseline Data'!$B$13</f>
        <v>0</v>
      </c>
      <c r="G66" s="262">
        <f>ROUND(('TPWP Scenario Outputs'!G73-1)*'2010 Baseline Data'!$B$13,4)</f>
        <v>0</v>
      </c>
      <c r="H66" s="262">
        <f>ROUND('Other Sectors Outputs'!D82/'2010 Baseline Data'!C84,4)</f>
        <v>0</v>
      </c>
      <c r="I66" s="340">
        <f t="shared" si="0"/>
        <v>0</v>
      </c>
      <c r="M66" s="334">
        <v>0</v>
      </c>
    </row>
    <row r="67" spans="1:13" x14ac:dyDescent="0.3">
      <c r="A67" s="330">
        <v>62</v>
      </c>
      <c r="B67" s="331">
        <f>('TPWP Scenario Outputs'!B74-1)*'2010 Baseline Data'!$B$7</f>
        <v>0</v>
      </c>
      <c r="C67" s="260">
        <f>ROUND(('TPWP Scenario Outputs'!C74-1)*'2010 Baseline Data'!$B$7,4)</f>
        <v>0</v>
      </c>
      <c r="D67" s="331">
        <f>('TPWP Scenario Outputs'!D74-1)*'2010 Baseline Data'!$B$11</f>
        <v>0</v>
      </c>
      <c r="E67" s="261">
        <f>ROUND(('TPWP Scenario Outputs'!E74-1)*'2010 Baseline Data'!$B$11,4)</f>
        <v>0</v>
      </c>
      <c r="F67" s="333">
        <f>('TPWP Scenario Outputs'!F74-1)*'2010 Baseline Data'!$B$13</f>
        <v>0</v>
      </c>
      <c r="G67" s="262">
        <f>ROUND(('TPWP Scenario Outputs'!G74-1)*'2010 Baseline Data'!$B$13,4)</f>
        <v>0</v>
      </c>
      <c r="H67" s="262">
        <f>ROUND('Other Sectors Outputs'!D83/'2010 Baseline Data'!C85,4)</f>
        <v>0</v>
      </c>
      <c r="I67" s="340">
        <f t="shared" si="0"/>
        <v>0</v>
      </c>
      <c r="M67" s="334">
        <v>0</v>
      </c>
    </row>
    <row r="68" spans="1:13" x14ac:dyDescent="0.3">
      <c r="A68" s="330">
        <v>63</v>
      </c>
      <c r="B68" s="331">
        <f>('TPWP Scenario Outputs'!B75-1)*'2010 Baseline Data'!$B$7</f>
        <v>-7.4597025891717237E-17</v>
      </c>
      <c r="C68" s="260">
        <f>ROUND(('TPWP Scenario Outputs'!C75-1)*'2010 Baseline Data'!$B$7,4)</f>
        <v>0</v>
      </c>
      <c r="D68" s="331">
        <f>('TPWP Scenario Outputs'!D75-1)*'2010 Baseline Data'!$B$11</f>
        <v>0</v>
      </c>
      <c r="E68" s="261">
        <f>ROUND(('TPWP Scenario Outputs'!E75-1)*'2010 Baseline Data'!$B$11,4)</f>
        <v>0</v>
      </c>
      <c r="F68" s="333">
        <f>('TPWP Scenario Outputs'!F75-1)*'2010 Baseline Data'!$B$13</f>
        <v>0</v>
      </c>
      <c r="G68" s="262">
        <f>ROUND(('TPWP Scenario Outputs'!G75-1)*'2010 Baseline Data'!$B$13,4)</f>
        <v>0</v>
      </c>
      <c r="H68" s="262">
        <f>ROUND('Other Sectors Outputs'!D84/'2010 Baseline Data'!C86,4)</f>
        <v>0</v>
      </c>
      <c r="I68" s="340">
        <f t="shared" si="0"/>
        <v>0</v>
      </c>
      <c r="M68" s="334">
        <v>0</v>
      </c>
    </row>
    <row r="69" spans="1:13" x14ac:dyDescent="0.3">
      <c r="A69" s="330">
        <v>64</v>
      </c>
      <c r="B69" s="331">
        <f>('TPWP Scenario Outputs'!B76-1)*'2010 Baseline Data'!$B$7</f>
        <v>0</v>
      </c>
      <c r="C69" s="260">
        <f>ROUND(('TPWP Scenario Outputs'!C76-1)*'2010 Baseline Data'!$B$7,4)</f>
        <v>0</v>
      </c>
      <c r="D69" s="331">
        <f>('TPWP Scenario Outputs'!D76-1)*'2010 Baseline Data'!$B$11</f>
        <v>0</v>
      </c>
      <c r="E69" s="261">
        <f>ROUND(('TPWP Scenario Outputs'!E76-1)*'2010 Baseline Data'!$B$11,4)</f>
        <v>0</v>
      </c>
      <c r="F69" s="333">
        <f>('TPWP Scenario Outputs'!F76-1)*'2010 Baseline Data'!$B$13</f>
        <v>0</v>
      </c>
      <c r="G69" s="262">
        <f>ROUND(('TPWP Scenario Outputs'!G76-1)*'2010 Baseline Data'!$B$13,4)</f>
        <v>0</v>
      </c>
      <c r="H69" s="262">
        <f>ROUND('Other Sectors Outputs'!D85/'2010 Baseline Data'!C87,4)</f>
        <v>0</v>
      </c>
      <c r="I69" s="340">
        <f t="shared" si="0"/>
        <v>0</v>
      </c>
      <c r="M69" s="334">
        <v>0</v>
      </c>
    </row>
    <row r="70" spans="1:13" x14ac:dyDescent="0.3">
      <c r="A70" s="330">
        <v>65</v>
      </c>
      <c r="B70" s="331">
        <f>('TPWP Scenario Outputs'!B77-1)*'2010 Baseline Data'!$B$7</f>
        <v>-7.4597025891717237E-17</v>
      </c>
      <c r="C70" s="260">
        <f>ROUND(('TPWP Scenario Outputs'!C77-1)*'2010 Baseline Data'!$B$7,4)</f>
        <v>0</v>
      </c>
      <c r="D70" s="331">
        <f>('TPWP Scenario Outputs'!D77-1)*'2010 Baseline Data'!$B$11</f>
        <v>0</v>
      </c>
      <c r="E70" s="261">
        <f>ROUND(('TPWP Scenario Outputs'!E77-1)*'2010 Baseline Data'!$B$11,4)</f>
        <v>0</v>
      </c>
      <c r="F70" s="333">
        <f>('TPWP Scenario Outputs'!F77-1)*'2010 Baseline Data'!$B$13</f>
        <v>0</v>
      </c>
      <c r="G70" s="262">
        <f>ROUND(('TPWP Scenario Outputs'!G77-1)*'2010 Baseline Data'!$B$13,4)</f>
        <v>0</v>
      </c>
      <c r="H70" s="262">
        <f>ROUND('Other Sectors Outputs'!D86/'2010 Baseline Data'!C88,4)</f>
        <v>0</v>
      </c>
      <c r="I70" s="340">
        <f t="shared" si="0"/>
        <v>0</v>
      </c>
      <c r="M70" s="334">
        <v>0</v>
      </c>
    </row>
    <row r="71" spans="1:13" x14ac:dyDescent="0.3">
      <c r="A71" s="330">
        <v>66</v>
      </c>
      <c r="B71" s="331">
        <f>('TPWP Scenario Outputs'!B78-1)*'2010 Baseline Data'!$B$7</f>
        <v>0</v>
      </c>
      <c r="C71" s="260">
        <f>ROUND(('TPWP Scenario Outputs'!C78-1)*'2010 Baseline Data'!$B$7,4)</f>
        <v>0</v>
      </c>
      <c r="D71" s="331">
        <f>('TPWP Scenario Outputs'!D78-1)*'2010 Baseline Data'!$B$11</f>
        <v>0</v>
      </c>
      <c r="E71" s="261">
        <f>ROUND(('TPWP Scenario Outputs'!E78-1)*'2010 Baseline Data'!$B$11,4)</f>
        <v>0</v>
      </c>
      <c r="F71" s="333">
        <f>('TPWP Scenario Outputs'!F78-1)*'2010 Baseline Data'!$B$13</f>
        <v>0</v>
      </c>
      <c r="G71" s="262">
        <f>ROUND(('TPWP Scenario Outputs'!G78-1)*'2010 Baseline Data'!$B$13,4)</f>
        <v>0</v>
      </c>
      <c r="H71" s="262">
        <f>ROUND('Other Sectors Outputs'!D87/'2010 Baseline Data'!C89,4)</f>
        <v>0</v>
      </c>
      <c r="I71" s="340">
        <f t="shared" ref="I71:I134" si="1">C71+E71+G71+H71</f>
        <v>0</v>
      </c>
      <c r="M71" s="334">
        <v>0</v>
      </c>
    </row>
    <row r="72" spans="1:13" x14ac:dyDescent="0.3">
      <c r="A72" s="330">
        <v>67</v>
      </c>
      <c r="B72" s="331">
        <f>('TPWP Scenario Outputs'!B79-1)*'2010 Baseline Data'!$B$7</f>
        <v>0</v>
      </c>
      <c r="C72" s="260">
        <f>ROUND(('TPWP Scenario Outputs'!C79-1)*'2010 Baseline Data'!$B$7,4)</f>
        <v>0</v>
      </c>
      <c r="D72" s="331">
        <f>('TPWP Scenario Outputs'!D79-1)*'2010 Baseline Data'!$B$11</f>
        <v>0</v>
      </c>
      <c r="E72" s="261">
        <f>ROUND(('TPWP Scenario Outputs'!E79-1)*'2010 Baseline Data'!$B$11,4)</f>
        <v>0</v>
      </c>
      <c r="F72" s="333">
        <f>('TPWP Scenario Outputs'!F79-1)*'2010 Baseline Data'!$B$13</f>
        <v>0</v>
      </c>
      <c r="G72" s="262">
        <f>ROUND(('TPWP Scenario Outputs'!G79-1)*'2010 Baseline Data'!$B$13,4)</f>
        <v>0</v>
      </c>
      <c r="H72" s="262">
        <f>ROUND('Other Sectors Outputs'!D88/'2010 Baseline Data'!C90,4)</f>
        <v>0</v>
      </c>
      <c r="I72" s="340">
        <f t="shared" si="1"/>
        <v>0</v>
      </c>
      <c r="M72" s="334">
        <v>0</v>
      </c>
    </row>
    <row r="73" spans="1:13" x14ac:dyDescent="0.3">
      <c r="A73" s="330">
        <v>68</v>
      </c>
      <c r="B73" s="331">
        <f>('TPWP Scenario Outputs'!B80-1)*'2010 Baseline Data'!$B$7</f>
        <v>-7.4597025891717237E-17</v>
      </c>
      <c r="C73" s="260">
        <f>ROUND(('TPWP Scenario Outputs'!C80-1)*'2010 Baseline Data'!$B$7,4)</f>
        <v>0</v>
      </c>
      <c r="D73" s="331">
        <f>('TPWP Scenario Outputs'!D80-1)*'2010 Baseline Data'!$B$11</f>
        <v>0</v>
      </c>
      <c r="E73" s="261">
        <f>ROUND(('TPWP Scenario Outputs'!E80-1)*'2010 Baseline Data'!$B$11,4)</f>
        <v>0</v>
      </c>
      <c r="F73" s="333">
        <f>('TPWP Scenario Outputs'!F80-1)*'2010 Baseline Data'!$B$13</f>
        <v>0</v>
      </c>
      <c r="G73" s="262">
        <f>ROUND(('TPWP Scenario Outputs'!G80-1)*'2010 Baseline Data'!$B$13,4)</f>
        <v>0</v>
      </c>
      <c r="H73" s="262">
        <f>ROUND('Other Sectors Outputs'!D89/'2010 Baseline Data'!C91,4)</f>
        <v>0</v>
      </c>
      <c r="I73" s="340">
        <f t="shared" si="1"/>
        <v>0</v>
      </c>
      <c r="M73" s="334">
        <v>0</v>
      </c>
    </row>
    <row r="74" spans="1:13" x14ac:dyDescent="0.3">
      <c r="A74" s="330">
        <v>69</v>
      </c>
      <c r="B74" s="331">
        <f>('TPWP Scenario Outputs'!B81-1)*'2010 Baseline Data'!$B$7</f>
        <v>0</v>
      </c>
      <c r="C74" s="260">
        <f>ROUND(('TPWP Scenario Outputs'!C81-1)*'2010 Baseline Data'!$B$7,4)</f>
        <v>0</v>
      </c>
      <c r="D74" s="331">
        <f>('TPWP Scenario Outputs'!D81-1)*'2010 Baseline Data'!$B$11</f>
        <v>0</v>
      </c>
      <c r="E74" s="261">
        <f>ROUND(('TPWP Scenario Outputs'!E81-1)*'2010 Baseline Data'!$B$11,4)</f>
        <v>0</v>
      </c>
      <c r="F74" s="333">
        <f>('TPWP Scenario Outputs'!F81-1)*'2010 Baseline Data'!$B$13</f>
        <v>0</v>
      </c>
      <c r="G74" s="262">
        <f>ROUND(('TPWP Scenario Outputs'!G81-1)*'2010 Baseline Data'!$B$13,4)</f>
        <v>0</v>
      </c>
      <c r="H74" s="262">
        <f>ROUND('Other Sectors Outputs'!D90/'2010 Baseline Data'!C92,4)</f>
        <v>0</v>
      </c>
      <c r="I74" s="340">
        <f t="shared" si="1"/>
        <v>0</v>
      </c>
      <c r="M74" s="334">
        <v>0</v>
      </c>
    </row>
    <row r="75" spans="1:13" x14ac:dyDescent="0.3">
      <c r="A75" s="330">
        <v>70</v>
      </c>
      <c r="B75" s="331">
        <f>('TPWP Scenario Outputs'!B82-1)*'2010 Baseline Data'!$B$7</f>
        <v>-3.7298512945858618E-17</v>
      </c>
      <c r="C75" s="260">
        <f>ROUND(('TPWP Scenario Outputs'!C82-1)*'2010 Baseline Data'!$B$7,4)</f>
        <v>0</v>
      </c>
      <c r="D75" s="331">
        <f>('TPWP Scenario Outputs'!D82-1)*'2010 Baseline Data'!$B$11</f>
        <v>0</v>
      </c>
      <c r="E75" s="261">
        <f>ROUND(('TPWP Scenario Outputs'!E82-1)*'2010 Baseline Data'!$B$11,4)</f>
        <v>0</v>
      </c>
      <c r="F75" s="333">
        <f>('TPWP Scenario Outputs'!F82-1)*'2010 Baseline Data'!$B$13</f>
        <v>0</v>
      </c>
      <c r="G75" s="262">
        <f>ROUND(('TPWP Scenario Outputs'!G82-1)*'2010 Baseline Data'!$B$13,4)</f>
        <v>0</v>
      </c>
      <c r="H75" s="262">
        <f>ROUND('Other Sectors Outputs'!D91/'2010 Baseline Data'!C93,4)</f>
        <v>0</v>
      </c>
      <c r="I75" s="340">
        <f t="shared" si="1"/>
        <v>0</v>
      </c>
      <c r="M75" s="334">
        <v>0</v>
      </c>
    </row>
    <row r="76" spans="1:13" x14ac:dyDescent="0.3">
      <c r="A76" s="330">
        <v>71</v>
      </c>
      <c r="B76" s="331">
        <f>('TPWP Scenario Outputs'!B83-1)*'2010 Baseline Data'!$B$7</f>
        <v>0</v>
      </c>
      <c r="C76" s="260">
        <f>ROUND(('TPWP Scenario Outputs'!C83-1)*'2010 Baseline Data'!$B$7,4)</f>
        <v>0</v>
      </c>
      <c r="D76" s="331">
        <f>('TPWP Scenario Outputs'!D83-1)*'2010 Baseline Data'!$B$11</f>
        <v>0</v>
      </c>
      <c r="E76" s="261">
        <f>ROUND(('TPWP Scenario Outputs'!E83-1)*'2010 Baseline Data'!$B$11,4)</f>
        <v>0</v>
      </c>
      <c r="F76" s="333">
        <f>('TPWP Scenario Outputs'!F83-1)*'2010 Baseline Data'!$B$13</f>
        <v>0</v>
      </c>
      <c r="G76" s="262">
        <f>ROUND(('TPWP Scenario Outputs'!G83-1)*'2010 Baseline Data'!$B$13,4)</f>
        <v>0</v>
      </c>
      <c r="H76" s="262">
        <f>ROUND('Other Sectors Outputs'!D92/'2010 Baseline Data'!C94,4)</f>
        <v>0</v>
      </c>
      <c r="I76" s="340">
        <f t="shared" si="1"/>
        <v>0</v>
      </c>
      <c r="M76" s="334">
        <v>0</v>
      </c>
    </row>
    <row r="77" spans="1:13" x14ac:dyDescent="0.3">
      <c r="A77" s="330">
        <v>72</v>
      </c>
      <c r="B77" s="331">
        <f>('TPWP Scenario Outputs'!B84-1)*'2010 Baseline Data'!$B$7</f>
        <v>-3.7298512945858618E-17</v>
      </c>
      <c r="C77" s="260">
        <f>ROUND(('TPWP Scenario Outputs'!C84-1)*'2010 Baseline Data'!$B$7,4)</f>
        <v>0</v>
      </c>
      <c r="D77" s="331">
        <f>('TPWP Scenario Outputs'!D84-1)*'2010 Baseline Data'!$B$11</f>
        <v>0</v>
      </c>
      <c r="E77" s="261">
        <f>ROUND(('TPWP Scenario Outputs'!E84-1)*'2010 Baseline Data'!$B$11,4)</f>
        <v>0</v>
      </c>
      <c r="F77" s="333">
        <f>('TPWP Scenario Outputs'!F84-1)*'2010 Baseline Data'!$B$13</f>
        <v>0</v>
      </c>
      <c r="G77" s="262">
        <f>ROUND(('TPWP Scenario Outputs'!G84-1)*'2010 Baseline Data'!$B$13,4)</f>
        <v>0</v>
      </c>
      <c r="H77" s="262">
        <f>ROUND('Other Sectors Outputs'!D93/'2010 Baseline Data'!C95,4)</f>
        <v>0</v>
      </c>
      <c r="I77" s="340">
        <f t="shared" si="1"/>
        <v>0</v>
      </c>
      <c r="M77" s="334">
        <v>0</v>
      </c>
    </row>
    <row r="78" spans="1:13" x14ac:dyDescent="0.3">
      <c r="A78" s="330">
        <v>73</v>
      </c>
      <c r="B78" s="331">
        <f>('TPWP Scenario Outputs'!B85-1)*'2010 Baseline Data'!$B$7</f>
        <v>-3.7298512945858618E-17</v>
      </c>
      <c r="C78" s="260">
        <f>ROUND(('TPWP Scenario Outputs'!C85-1)*'2010 Baseline Data'!$B$7,4)</f>
        <v>0</v>
      </c>
      <c r="D78" s="331">
        <f>('TPWP Scenario Outputs'!D85-1)*'2010 Baseline Data'!$B$11</f>
        <v>0</v>
      </c>
      <c r="E78" s="261">
        <f>ROUND(('TPWP Scenario Outputs'!E85-1)*'2010 Baseline Data'!$B$11,4)</f>
        <v>0</v>
      </c>
      <c r="F78" s="333">
        <f>('TPWP Scenario Outputs'!F85-1)*'2010 Baseline Data'!$B$13</f>
        <v>0</v>
      </c>
      <c r="G78" s="262">
        <f>ROUND(('TPWP Scenario Outputs'!G85-1)*'2010 Baseline Data'!$B$13,4)</f>
        <v>0</v>
      </c>
      <c r="H78" s="262">
        <f>ROUND('Other Sectors Outputs'!D94/'2010 Baseline Data'!C96,4)</f>
        <v>0</v>
      </c>
      <c r="I78" s="340">
        <f t="shared" si="1"/>
        <v>0</v>
      </c>
      <c r="M78" s="334">
        <v>0</v>
      </c>
    </row>
    <row r="79" spans="1:13" x14ac:dyDescent="0.3">
      <c r="A79" s="330">
        <v>74</v>
      </c>
      <c r="B79" s="331">
        <f>('TPWP Scenario Outputs'!B86-1)*'2010 Baseline Data'!$B$7</f>
        <v>0</v>
      </c>
      <c r="C79" s="260">
        <f>ROUND(('TPWP Scenario Outputs'!C86-1)*'2010 Baseline Data'!$B$7,4)</f>
        <v>0</v>
      </c>
      <c r="D79" s="331">
        <f>('TPWP Scenario Outputs'!D86-1)*'2010 Baseline Data'!$B$11</f>
        <v>0</v>
      </c>
      <c r="E79" s="261">
        <f>ROUND(('TPWP Scenario Outputs'!E86-1)*'2010 Baseline Data'!$B$11,4)</f>
        <v>0</v>
      </c>
      <c r="F79" s="333">
        <f>('TPWP Scenario Outputs'!F86-1)*'2010 Baseline Data'!$B$13</f>
        <v>0</v>
      </c>
      <c r="G79" s="262">
        <f>ROUND(('TPWP Scenario Outputs'!G86-1)*'2010 Baseline Data'!$B$13,4)</f>
        <v>0</v>
      </c>
      <c r="H79" s="262">
        <f>ROUND('Other Sectors Outputs'!D95/'2010 Baseline Data'!C97,4)</f>
        <v>0</v>
      </c>
      <c r="I79" s="340">
        <f t="shared" si="1"/>
        <v>0</v>
      </c>
      <c r="M79" s="334">
        <v>0</v>
      </c>
    </row>
    <row r="80" spans="1:13" x14ac:dyDescent="0.3">
      <c r="A80" s="330">
        <v>75</v>
      </c>
      <c r="B80" s="331">
        <f>('TPWP Scenario Outputs'!B87-1)*'2010 Baseline Data'!$B$7</f>
        <v>0</v>
      </c>
      <c r="C80" s="260">
        <f>ROUND(('TPWP Scenario Outputs'!C87-1)*'2010 Baseline Data'!$B$7,4)</f>
        <v>0</v>
      </c>
      <c r="D80" s="331">
        <f>('TPWP Scenario Outputs'!D87-1)*'2010 Baseline Data'!$B$11</f>
        <v>0</v>
      </c>
      <c r="E80" s="261">
        <f>ROUND(('TPWP Scenario Outputs'!E87-1)*'2010 Baseline Data'!$B$11,4)</f>
        <v>0</v>
      </c>
      <c r="F80" s="333">
        <f>('TPWP Scenario Outputs'!F87-1)*'2010 Baseline Data'!$B$13</f>
        <v>0</v>
      </c>
      <c r="G80" s="262">
        <f>ROUND(('TPWP Scenario Outputs'!G87-1)*'2010 Baseline Data'!$B$13,4)</f>
        <v>0</v>
      </c>
      <c r="H80" s="262">
        <f>ROUND('Other Sectors Outputs'!D96/'2010 Baseline Data'!C98,4)</f>
        <v>0</v>
      </c>
      <c r="I80" s="340">
        <f t="shared" si="1"/>
        <v>0</v>
      </c>
      <c r="M80" s="334">
        <v>0</v>
      </c>
    </row>
    <row r="81" spans="1:13" x14ac:dyDescent="0.3">
      <c r="A81" s="330">
        <v>76</v>
      </c>
      <c r="B81" s="331">
        <f>('TPWP Scenario Outputs'!B88-1)*'2010 Baseline Data'!$B$7</f>
        <v>0</v>
      </c>
      <c r="C81" s="260">
        <f>ROUND(('TPWP Scenario Outputs'!C88-1)*'2010 Baseline Data'!$B$7,4)</f>
        <v>0</v>
      </c>
      <c r="D81" s="331">
        <f>('TPWP Scenario Outputs'!D88-1)*'2010 Baseline Data'!$B$11</f>
        <v>0</v>
      </c>
      <c r="E81" s="261">
        <f>ROUND(('TPWP Scenario Outputs'!E88-1)*'2010 Baseline Data'!$B$11,4)</f>
        <v>0</v>
      </c>
      <c r="F81" s="333">
        <f>('TPWP Scenario Outputs'!F88-1)*'2010 Baseline Data'!$B$13</f>
        <v>0</v>
      </c>
      <c r="G81" s="262">
        <f>ROUND(('TPWP Scenario Outputs'!G88-1)*'2010 Baseline Data'!$B$13,4)</f>
        <v>0</v>
      </c>
      <c r="H81" s="262">
        <f>ROUND('Other Sectors Outputs'!D97/'2010 Baseline Data'!C99,4)</f>
        <v>0</v>
      </c>
      <c r="I81" s="340">
        <f t="shared" si="1"/>
        <v>0</v>
      </c>
      <c r="M81" s="334">
        <v>0</v>
      </c>
    </row>
    <row r="82" spans="1:13" x14ac:dyDescent="0.3">
      <c r="A82" s="330">
        <v>77</v>
      </c>
      <c r="B82" s="331">
        <f>('TPWP Scenario Outputs'!B89-1)*'2010 Baseline Data'!$B$7</f>
        <v>0</v>
      </c>
      <c r="C82" s="260">
        <f>ROUND(('TPWP Scenario Outputs'!C89-1)*'2010 Baseline Data'!$B$7,4)</f>
        <v>0</v>
      </c>
      <c r="D82" s="331">
        <f>('TPWP Scenario Outputs'!D89-1)*'2010 Baseline Data'!$B$11</f>
        <v>0</v>
      </c>
      <c r="E82" s="261">
        <f>ROUND(('TPWP Scenario Outputs'!E89-1)*'2010 Baseline Data'!$B$11,4)</f>
        <v>0</v>
      </c>
      <c r="F82" s="333">
        <f>('TPWP Scenario Outputs'!F89-1)*'2010 Baseline Data'!$B$13</f>
        <v>0</v>
      </c>
      <c r="G82" s="262">
        <f>ROUND(('TPWP Scenario Outputs'!G89-1)*'2010 Baseline Data'!$B$13,4)</f>
        <v>0</v>
      </c>
      <c r="H82" s="262">
        <f>ROUND('Other Sectors Outputs'!D98/'2010 Baseline Data'!C100,4)</f>
        <v>0</v>
      </c>
      <c r="I82" s="340">
        <f t="shared" si="1"/>
        <v>0</v>
      </c>
      <c r="M82" s="334">
        <v>0</v>
      </c>
    </row>
    <row r="83" spans="1:13" x14ac:dyDescent="0.3">
      <c r="A83" s="330">
        <v>78</v>
      </c>
      <c r="B83" s="331">
        <f>('TPWP Scenario Outputs'!B90-1)*'2010 Baseline Data'!$B$7</f>
        <v>-3.7298512945858618E-17</v>
      </c>
      <c r="C83" s="260">
        <f>ROUND(('TPWP Scenario Outputs'!C90-1)*'2010 Baseline Data'!$B$7,4)</f>
        <v>0</v>
      </c>
      <c r="D83" s="331">
        <f>('TPWP Scenario Outputs'!D90-1)*'2010 Baseline Data'!$B$11</f>
        <v>0</v>
      </c>
      <c r="E83" s="261">
        <f>ROUND(('TPWP Scenario Outputs'!E90-1)*'2010 Baseline Data'!$B$11,4)</f>
        <v>0</v>
      </c>
      <c r="F83" s="333">
        <f>('TPWP Scenario Outputs'!F90-1)*'2010 Baseline Data'!$B$13</f>
        <v>0</v>
      </c>
      <c r="G83" s="262">
        <f>ROUND(('TPWP Scenario Outputs'!G90-1)*'2010 Baseline Data'!$B$13,4)</f>
        <v>0</v>
      </c>
      <c r="H83" s="262">
        <f>ROUND('Other Sectors Outputs'!D99/'2010 Baseline Data'!C101,4)</f>
        <v>0</v>
      </c>
      <c r="I83" s="340">
        <f t="shared" si="1"/>
        <v>0</v>
      </c>
      <c r="M83" s="334">
        <v>0</v>
      </c>
    </row>
    <row r="84" spans="1:13" x14ac:dyDescent="0.3">
      <c r="A84" s="330">
        <v>79</v>
      </c>
      <c r="B84" s="331">
        <f>('TPWP Scenario Outputs'!B91-1)*'2010 Baseline Data'!$B$7</f>
        <v>0</v>
      </c>
      <c r="C84" s="260">
        <f>ROUND(('TPWP Scenario Outputs'!C91-1)*'2010 Baseline Data'!$B$7,4)</f>
        <v>0</v>
      </c>
      <c r="D84" s="331">
        <f>('TPWP Scenario Outputs'!D91-1)*'2010 Baseline Data'!$B$11</f>
        <v>0</v>
      </c>
      <c r="E84" s="261">
        <f>ROUND(('TPWP Scenario Outputs'!E91-1)*'2010 Baseline Data'!$B$11,4)</f>
        <v>0</v>
      </c>
      <c r="F84" s="333">
        <f>('TPWP Scenario Outputs'!F91-1)*'2010 Baseline Data'!$B$13</f>
        <v>0</v>
      </c>
      <c r="G84" s="262">
        <f>ROUND(('TPWP Scenario Outputs'!G91-1)*'2010 Baseline Data'!$B$13,4)</f>
        <v>0</v>
      </c>
      <c r="H84" s="262">
        <f>ROUND('Other Sectors Outputs'!D100/'2010 Baseline Data'!C102,4)</f>
        <v>0</v>
      </c>
      <c r="I84" s="340">
        <f t="shared" si="1"/>
        <v>0</v>
      </c>
      <c r="M84" s="334">
        <v>0</v>
      </c>
    </row>
    <row r="85" spans="1:13" x14ac:dyDescent="0.3">
      <c r="A85" s="330">
        <v>80</v>
      </c>
      <c r="B85" s="331">
        <f>('TPWP Scenario Outputs'!B92-1)*'2010 Baseline Data'!$B$7</f>
        <v>0</v>
      </c>
      <c r="C85" s="260">
        <f>ROUND(('TPWP Scenario Outputs'!C92-1)*'2010 Baseline Data'!$B$7,4)</f>
        <v>0</v>
      </c>
      <c r="D85" s="331">
        <f>('TPWP Scenario Outputs'!D92-1)*'2010 Baseline Data'!$B$11</f>
        <v>0</v>
      </c>
      <c r="E85" s="261">
        <f>ROUND(('TPWP Scenario Outputs'!E92-1)*'2010 Baseline Data'!$B$11,4)</f>
        <v>0</v>
      </c>
      <c r="F85" s="333">
        <f>('TPWP Scenario Outputs'!F92-1)*'2010 Baseline Data'!$B$13</f>
        <v>0</v>
      </c>
      <c r="G85" s="262">
        <f>ROUND(('TPWP Scenario Outputs'!G92-1)*'2010 Baseline Data'!$B$13,4)</f>
        <v>0</v>
      </c>
      <c r="H85" s="262">
        <f>ROUND('Other Sectors Outputs'!D101/'2010 Baseline Data'!C103,4)</f>
        <v>0</v>
      </c>
      <c r="I85" s="340">
        <f t="shared" si="1"/>
        <v>0</v>
      </c>
      <c r="M85" s="334">
        <v>0</v>
      </c>
    </row>
    <row r="86" spans="1:13" x14ac:dyDescent="0.3">
      <c r="A86" s="330">
        <v>81</v>
      </c>
      <c r="B86" s="331">
        <f>('TPWP Scenario Outputs'!B93-1)*'2010 Baseline Data'!$B$7</f>
        <v>0</v>
      </c>
      <c r="C86" s="260">
        <f>ROUND(('TPWP Scenario Outputs'!C93-1)*'2010 Baseline Data'!$B$7,4)</f>
        <v>0</v>
      </c>
      <c r="D86" s="331">
        <f>('TPWP Scenario Outputs'!D93-1)*'2010 Baseline Data'!$B$11</f>
        <v>0</v>
      </c>
      <c r="E86" s="261">
        <f>ROUND(('TPWP Scenario Outputs'!E93-1)*'2010 Baseline Data'!$B$11,4)</f>
        <v>0</v>
      </c>
      <c r="F86" s="333">
        <f>('TPWP Scenario Outputs'!F93-1)*'2010 Baseline Data'!$B$13</f>
        <v>0</v>
      </c>
      <c r="G86" s="262">
        <f>ROUND(('TPWP Scenario Outputs'!G93-1)*'2010 Baseline Data'!$B$13,4)</f>
        <v>0</v>
      </c>
      <c r="H86" s="262">
        <f>ROUND('Other Sectors Outputs'!D102/'2010 Baseline Data'!C104,4)</f>
        <v>0</v>
      </c>
      <c r="I86" s="340">
        <f t="shared" si="1"/>
        <v>0</v>
      </c>
      <c r="M86" s="334">
        <v>0</v>
      </c>
    </row>
    <row r="87" spans="1:13" x14ac:dyDescent="0.3">
      <c r="A87" s="330">
        <v>82</v>
      </c>
      <c r="B87" s="331">
        <f>('TPWP Scenario Outputs'!B94-1)*'2010 Baseline Data'!$B$7</f>
        <v>0</v>
      </c>
      <c r="C87" s="260">
        <f>ROUND(('TPWP Scenario Outputs'!C94-1)*'2010 Baseline Data'!$B$7,4)</f>
        <v>0</v>
      </c>
      <c r="D87" s="331">
        <f>('TPWP Scenario Outputs'!D94-1)*'2010 Baseline Data'!$B$11</f>
        <v>0</v>
      </c>
      <c r="E87" s="261">
        <f>ROUND(('TPWP Scenario Outputs'!E94-1)*'2010 Baseline Data'!$B$11,4)</f>
        <v>0</v>
      </c>
      <c r="F87" s="333">
        <f>('TPWP Scenario Outputs'!F94-1)*'2010 Baseline Data'!$B$13</f>
        <v>0</v>
      </c>
      <c r="G87" s="262">
        <f>ROUND(('TPWP Scenario Outputs'!G94-1)*'2010 Baseline Data'!$B$13,4)</f>
        <v>0</v>
      </c>
      <c r="H87" s="262">
        <f>ROUND('Other Sectors Outputs'!D103/'2010 Baseline Data'!C105,4)</f>
        <v>0</v>
      </c>
      <c r="I87" s="340">
        <f t="shared" si="1"/>
        <v>0</v>
      </c>
      <c r="M87" s="334">
        <v>0</v>
      </c>
    </row>
    <row r="88" spans="1:13" x14ac:dyDescent="0.3">
      <c r="A88" s="330">
        <v>83</v>
      </c>
      <c r="B88" s="331">
        <f>('TPWP Scenario Outputs'!B95-1)*'2010 Baseline Data'!$B$7</f>
        <v>0</v>
      </c>
      <c r="C88" s="260">
        <f>ROUND(('TPWP Scenario Outputs'!C95-1)*'2010 Baseline Data'!$B$7,4)</f>
        <v>0</v>
      </c>
      <c r="D88" s="331">
        <f>('TPWP Scenario Outputs'!D95-1)*'2010 Baseline Data'!$B$11</f>
        <v>0</v>
      </c>
      <c r="E88" s="261">
        <f>ROUND(('TPWP Scenario Outputs'!E95-1)*'2010 Baseline Data'!$B$11,4)</f>
        <v>0</v>
      </c>
      <c r="F88" s="333">
        <f>('TPWP Scenario Outputs'!F95-1)*'2010 Baseline Data'!$B$13</f>
        <v>0</v>
      </c>
      <c r="G88" s="262">
        <f>ROUND(('TPWP Scenario Outputs'!G95-1)*'2010 Baseline Data'!$B$13,4)</f>
        <v>0</v>
      </c>
      <c r="H88" s="262">
        <f>ROUND('Other Sectors Outputs'!D104/'2010 Baseline Data'!C106,4)</f>
        <v>0</v>
      </c>
      <c r="I88" s="340">
        <f t="shared" si="1"/>
        <v>0</v>
      </c>
      <c r="M88" s="334">
        <v>0</v>
      </c>
    </row>
    <row r="89" spans="1:13" x14ac:dyDescent="0.3">
      <c r="A89" s="330">
        <v>84</v>
      </c>
      <c r="B89" s="331">
        <f>('TPWP Scenario Outputs'!B96-1)*'2010 Baseline Data'!$B$7</f>
        <v>-3.7298512945858618E-17</v>
      </c>
      <c r="C89" s="260">
        <f>ROUND(('TPWP Scenario Outputs'!C96-1)*'2010 Baseline Data'!$B$7,4)</f>
        <v>0</v>
      </c>
      <c r="D89" s="331">
        <f>('TPWP Scenario Outputs'!D96-1)*'2010 Baseline Data'!$B$11</f>
        <v>0</v>
      </c>
      <c r="E89" s="261">
        <f>ROUND(('TPWP Scenario Outputs'!E96-1)*'2010 Baseline Data'!$B$11,4)</f>
        <v>0</v>
      </c>
      <c r="F89" s="333">
        <f>('TPWP Scenario Outputs'!F96-1)*'2010 Baseline Data'!$B$13</f>
        <v>0</v>
      </c>
      <c r="G89" s="262">
        <f>ROUND(('TPWP Scenario Outputs'!G96-1)*'2010 Baseline Data'!$B$13,4)</f>
        <v>0</v>
      </c>
      <c r="H89" s="262">
        <f>ROUND('Other Sectors Outputs'!D105/'2010 Baseline Data'!C107,4)</f>
        <v>0</v>
      </c>
      <c r="I89" s="340">
        <f t="shared" si="1"/>
        <v>0</v>
      </c>
      <c r="M89" s="334">
        <v>0</v>
      </c>
    </row>
    <row r="90" spans="1:13" x14ac:dyDescent="0.3">
      <c r="A90" s="330">
        <v>85</v>
      </c>
      <c r="B90" s="331">
        <f>('TPWP Scenario Outputs'!B97-1)*'2010 Baseline Data'!$B$7</f>
        <v>-3.7298512945858618E-17</v>
      </c>
      <c r="C90" s="260">
        <f>ROUND(('TPWP Scenario Outputs'!C97-1)*'2010 Baseline Data'!$B$7,4)</f>
        <v>0</v>
      </c>
      <c r="D90" s="331">
        <f>('TPWP Scenario Outputs'!D97-1)*'2010 Baseline Data'!$B$11</f>
        <v>0</v>
      </c>
      <c r="E90" s="261">
        <f>ROUND(('TPWP Scenario Outputs'!E97-1)*'2010 Baseline Data'!$B$11,4)</f>
        <v>0</v>
      </c>
      <c r="F90" s="333">
        <f>('TPWP Scenario Outputs'!F97-1)*'2010 Baseline Data'!$B$13</f>
        <v>0</v>
      </c>
      <c r="G90" s="262">
        <f>ROUND(('TPWP Scenario Outputs'!G97-1)*'2010 Baseline Data'!$B$13,4)</f>
        <v>0</v>
      </c>
      <c r="H90" s="262">
        <f>ROUND('Other Sectors Outputs'!D106/'2010 Baseline Data'!C108,4)</f>
        <v>0</v>
      </c>
      <c r="I90" s="340">
        <f t="shared" si="1"/>
        <v>0</v>
      </c>
      <c r="M90" s="334">
        <v>0</v>
      </c>
    </row>
    <row r="91" spans="1:13" x14ac:dyDescent="0.3">
      <c r="A91" s="330">
        <v>86</v>
      </c>
      <c r="B91" s="331">
        <f>('TPWP Scenario Outputs'!B98-1)*'2010 Baseline Data'!$B$7</f>
        <v>-3.7298512945858618E-17</v>
      </c>
      <c r="C91" s="260">
        <f>ROUND(('TPWP Scenario Outputs'!C98-1)*'2010 Baseline Data'!$B$7,4)</f>
        <v>0</v>
      </c>
      <c r="D91" s="331">
        <f>('TPWP Scenario Outputs'!D98-1)*'2010 Baseline Data'!$B$11</f>
        <v>0</v>
      </c>
      <c r="E91" s="261">
        <f>ROUND(('TPWP Scenario Outputs'!E98-1)*'2010 Baseline Data'!$B$11,4)</f>
        <v>0</v>
      </c>
      <c r="F91" s="333">
        <f>('TPWP Scenario Outputs'!F98-1)*'2010 Baseline Data'!$B$13</f>
        <v>0</v>
      </c>
      <c r="G91" s="262">
        <f>ROUND(('TPWP Scenario Outputs'!G98-1)*'2010 Baseline Data'!$B$13,4)</f>
        <v>0</v>
      </c>
      <c r="H91" s="262">
        <f>ROUND('Other Sectors Outputs'!D107/'2010 Baseline Data'!C109,4)</f>
        <v>0</v>
      </c>
      <c r="I91" s="340">
        <f t="shared" si="1"/>
        <v>0</v>
      </c>
      <c r="M91" s="334">
        <v>0</v>
      </c>
    </row>
    <row r="92" spans="1:13" x14ac:dyDescent="0.3">
      <c r="A92" s="330">
        <v>87</v>
      </c>
      <c r="B92" s="331">
        <f>('TPWP Scenario Outputs'!B99-1)*'2010 Baseline Data'!$B$7</f>
        <v>-3.7298512945858618E-17</v>
      </c>
      <c r="C92" s="260">
        <f>ROUND(('TPWP Scenario Outputs'!C99-1)*'2010 Baseline Data'!$B$7,4)</f>
        <v>0</v>
      </c>
      <c r="D92" s="331">
        <f>('TPWP Scenario Outputs'!D99-1)*'2010 Baseline Data'!$B$11</f>
        <v>0</v>
      </c>
      <c r="E92" s="261">
        <f>ROUND(('TPWP Scenario Outputs'!E99-1)*'2010 Baseline Data'!$B$11,4)</f>
        <v>0</v>
      </c>
      <c r="F92" s="333">
        <f>('TPWP Scenario Outputs'!F99-1)*'2010 Baseline Data'!$B$13</f>
        <v>0</v>
      </c>
      <c r="G92" s="262">
        <f>ROUND(('TPWP Scenario Outputs'!G99-1)*'2010 Baseline Data'!$B$13,4)</f>
        <v>0</v>
      </c>
      <c r="H92" s="262">
        <f>ROUND('Other Sectors Outputs'!D108/'2010 Baseline Data'!C110,4)</f>
        <v>0</v>
      </c>
      <c r="I92" s="340">
        <f t="shared" si="1"/>
        <v>0</v>
      </c>
      <c r="M92" s="334">
        <v>0</v>
      </c>
    </row>
    <row r="93" spans="1:13" x14ac:dyDescent="0.3">
      <c r="A93" s="330">
        <v>88</v>
      </c>
      <c r="B93" s="331">
        <f>('TPWP Scenario Outputs'!B100-1)*'2010 Baseline Data'!$B$7</f>
        <v>-3.7298512945858618E-17</v>
      </c>
      <c r="C93" s="260">
        <f>ROUND(('TPWP Scenario Outputs'!C100-1)*'2010 Baseline Data'!$B$7,4)</f>
        <v>0</v>
      </c>
      <c r="D93" s="331">
        <f>('TPWP Scenario Outputs'!D100-1)*'2010 Baseline Data'!$B$11</f>
        <v>0</v>
      </c>
      <c r="E93" s="261">
        <f>ROUND(('TPWP Scenario Outputs'!E100-1)*'2010 Baseline Data'!$B$11,4)</f>
        <v>0</v>
      </c>
      <c r="F93" s="333">
        <f>('TPWP Scenario Outputs'!F100-1)*'2010 Baseline Data'!$B$13</f>
        <v>0</v>
      </c>
      <c r="G93" s="262">
        <f>ROUND(('TPWP Scenario Outputs'!G100-1)*'2010 Baseline Data'!$B$13,4)</f>
        <v>0</v>
      </c>
      <c r="H93" s="262">
        <f>ROUND('Other Sectors Outputs'!D109/'2010 Baseline Data'!C111,4)</f>
        <v>0</v>
      </c>
      <c r="I93" s="340">
        <f t="shared" si="1"/>
        <v>0</v>
      </c>
      <c r="M93" s="334">
        <v>0</v>
      </c>
    </row>
    <row r="94" spans="1:13" x14ac:dyDescent="0.3">
      <c r="A94" s="330">
        <v>89</v>
      </c>
      <c r="B94" s="331">
        <f>('TPWP Scenario Outputs'!B101-1)*'2010 Baseline Data'!$B$7</f>
        <v>-3.7298512945858618E-17</v>
      </c>
      <c r="C94" s="260">
        <f>ROUND(('TPWP Scenario Outputs'!C101-1)*'2010 Baseline Data'!$B$7,4)</f>
        <v>0</v>
      </c>
      <c r="D94" s="331">
        <f>('TPWP Scenario Outputs'!D101-1)*'2010 Baseline Data'!$B$11</f>
        <v>0</v>
      </c>
      <c r="E94" s="261">
        <f>ROUND(('TPWP Scenario Outputs'!E101-1)*'2010 Baseline Data'!$B$11,4)</f>
        <v>0</v>
      </c>
      <c r="F94" s="333">
        <f>('TPWP Scenario Outputs'!F101-1)*'2010 Baseline Data'!$B$13</f>
        <v>0</v>
      </c>
      <c r="G94" s="262">
        <f>ROUND(('TPWP Scenario Outputs'!G101-1)*'2010 Baseline Data'!$B$13,4)</f>
        <v>0</v>
      </c>
      <c r="H94" s="262">
        <f>ROUND('Other Sectors Outputs'!D110/'2010 Baseline Data'!C112,4)</f>
        <v>0</v>
      </c>
      <c r="I94" s="340">
        <f t="shared" si="1"/>
        <v>0</v>
      </c>
      <c r="M94" s="334">
        <v>0</v>
      </c>
    </row>
    <row r="95" spans="1:13" x14ac:dyDescent="0.3">
      <c r="A95" s="330">
        <v>90</v>
      </c>
      <c r="B95" s="331">
        <f>('TPWP Scenario Outputs'!B102-1)*'2010 Baseline Data'!$B$7</f>
        <v>0</v>
      </c>
      <c r="C95" s="260">
        <f>ROUND(('TPWP Scenario Outputs'!C102-1)*'2010 Baseline Data'!$B$7,4)</f>
        <v>0</v>
      </c>
      <c r="D95" s="331">
        <f>('TPWP Scenario Outputs'!D102-1)*'2010 Baseline Data'!$B$11</f>
        <v>0</v>
      </c>
      <c r="E95" s="261">
        <f>ROUND(('TPWP Scenario Outputs'!E102-1)*'2010 Baseline Data'!$B$11,4)</f>
        <v>0</v>
      </c>
      <c r="F95" s="333">
        <f>('TPWP Scenario Outputs'!F102-1)*'2010 Baseline Data'!$B$13</f>
        <v>0</v>
      </c>
      <c r="G95" s="262">
        <f>ROUND(('TPWP Scenario Outputs'!G102-1)*'2010 Baseline Data'!$B$13,4)</f>
        <v>0</v>
      </c>
      <c r="H95" s="262">
        <f>ROUND('Other Sectors Outputs'!D111/'2010 Baseline Data'!C113,4)</f>
        <v>0</v>
      </c>
      <c r="I95" s="340">
        <f t="shared" si="1"/>
        <v>0</v>
      </c>
      <c r="M95" s="334">
        <v>0</v>
      </c>
    </row>
    <row r="96" spans="1:13" x14ac:dyDescent="0.3">
      <c r="A96" s="330">
        <v>91</v>
      </c>
      <c r="B96" s="331">
        <f>('TPWP Scenario Outputs'!B103-1)*'2010 Baseline Data'!$B$7</f>
        <v>0</v>
      </c>
      <c r="C96" s="260">
        <f>ROUND(('TPWP Scenario Outputs'!C103-1)*'2010 Baseline Data'!$B$7,4)</f>
        <v>0</v>
      </c>
      <c r="D96" s="331">
        <f>('TPWP Scenario Outputs'!D103-1)*'2010 Baseline Data'!$B$11</f>
        <v>0</v>
      </c>
      <c r="E96" s="261">
        <f>ROUND(('TPWP Scenario Outputs'!E103-1)*'2010 Baseline Data'!$B$11,4)</f>
        <v>0</v>
      </c>
      <c r="F96" s="333">
        <f>('TPWP Scenario Outputs'!F103-1)*'2010 Baseline Data'!$B$13</f>
        <v>0</v>
      </c>
      <c r="G96" s="262">
        <f>ROUND(('TPWP Scenario Outputs'!G103-1)*'2010 Baseline Data'!$B$13,4)</f>
        <v>0</v>
      </c>
      <c r="H96" s="262">
        <f>ROUND('Other Sectors Outputs'!D112/'2010 Baseline Data'!C114,4)</f>
        <v>0</v>
      </c>
      <c r="I96" s="340">
        <f t="shared" si="1"/>
        <v>0</v>
      </c>
      <c r="M96" s="334">
        <v>0</v>
      </c>
    </row>
    <row r="97" spans="1:13" x14ac:dyDescent="0.3">
      <c r="A97" s="330">
        <v>92</v>
      </c>
      <c r="B97" s="331">
        <f>('TPWP Scenario Outputs'!B104-1)*'2010 Baseline Data'!$B$7</f>
        <v>0</v>
      </c>
      <c r="C97" s="260">
        <f>ROUND(('TPWP Scenario Outputs'!C104-1)*'2010 Baseline Data'!$B$7,4)</f>
        <v>0</v>
      </c>
      <c r="D97" s="331">
        <f>('TPWP Scenario Outputs'!D104-1)*'2010 Baseline Data'!$B$11</f>
        <v>0</v>
      </c>
      <c r="E97" s="261">
        <f>ROUND(('TPWP Scenario Outputs'!E104-1)*'2010 Baseline Data'!$B$11,4)</f>
        <v>0</v>
      </c>
      <c r="F97" s="333">
        <f>('TPWP Scenario Outputs'!F104-1)*'2010 Baseline Data'!$B$13</f>
        <v>0</v>
      </c>
      <c r="G97" s="262">
        <f>ROUND(('TPWP Scenario Outputs'!G104-1)*'2010 Baseline Data'!$B$13,4)</f>
        <v>0</v>
      </c>
      <c r="H97" s="262">
        <f>ROUND('Other Sectors Outputs'!D113/'2010 Baseline Data'!C115,4)</f>
        <v>0</v>
      </c>
      <c r="I97" s="340">
        <f t="shared" si="1"/>
        <v>0</v>
      </c>
      <c r="M97" s="334">
        <v>0</v>
      </c>
    </row>
    <row r="98" spans="1:13" x14ac:dyDescent="0.3">
      <c r="A98" s="330">
        <v>93</v>
      </c>
      <c r="B98" s="331">
        <f>('TPWP Scenario Outputs'!B105-1)*'2010 Baseline Data'!$B$7</f>
        <v>-3.7298512945858618E-17</v>
      </c>
      <c r="C98" s="260">
        <f>ROUND(('TPWP Scenario Outputs'!C105-1)*'2010 Baseline Data'!$B$7,4)</f>
        <v>0</v>
      </c>
      <c r="D98" s="331">
        <f>('TPWP Scenario Outputs'!D105-1)*'2010 Baseline Data'!$B$11</f>
        <v>0</v>
      </c>
      <c r="E98" s="261">
        <f>ROUND(('TPWP Scenario Outputs'!E105-1)*'2010 Baseline Data'!$B$11,4)</f>
        <v>0</v>
      </c>
      <c r="F98" s="333">
        <f>('TPWP Scenario Outputs'!F105-1)*'2010 Baseline Data'!$B$13</f>
        <v>0</v>
      </c>
      <c r="G98" s="262">
        <f>ROUND(('TPWP Scenario Outputs'!G105-1)*'2010 Baseline Data'!$B$13,4)</f>
        <v>0</v>
      </c>
      <c r="H98" s="262">
        <f>ROUND('Other Sectors Outputs'!D114/'2010 Baseline Data'!C116,4)</f>
        <v>0</v>
      </c>
      <c r="I98" s="340">
        <f t="shared" si="1"/>
        <v>0</v>
      </c>
      <c r="M98" s="334">
        <v>0</v>
      </c>
    </row>
    <row r="99" spans="1:13" x14ac:dyDescent="0.3">
      <c r="A99" s="330">
        <v>94</v>
      </c>
      <c r="B99" s="331">
        <f>('TPWP Scenario Outputs'!B106-1)*'2010 Baseline Data'!$B$7</f>
        <v>-3.7298512945858618E-17</v>
      </c>
      <c r="C99" s="260">
        <f>ROUND(('TPWP Scenario Outputs'!C106-1)*'2010 Baseline Data'!$B$7,4)</f>
        <v>0</v>
      </c>
      <c r="D99" s="331">
        <f>('TPWP Scenario Outputs'!D106-1)*'2010 Baseline Data'!$B$11</f>
        <v>0</v>
      </c>
      <c r="E99" s="261">
        <f>ROUND(('TPWP Scenario Outputs'!E106-1)*'2010 Baseline Data'!$B$11,4)</f>
        <v>0</v>
      </c>
      <c r="F99" s="333">
        <f>('TPWP Scenario Outputs'!F106-1)*'2010 Baseline Data'!$B$13</f>
        <v>0</v>
      </c>
      <c r="G99" s="262">
        <f>ROUND(('TPWP Scenario Outputs'!G106-1)*'2010 Baseline Data'!$B$13,4)</f>
        <v>0</v>
      </c>
      <c r="H99" s="262">
        <f>ROUND('Other Sectors Outputs'!D115/'2010 Baseline Data'!C117,4)</f>
        <v>0</v>
      </c>
      <c r="I99" s="340">
        <f t="shared" si="1"/>
        <v>0</v>
      </c>
      <c r="M99" s="334">
        <v>0</v>
      </c>
    </row>
    <row r="100" spans="1:13" x14ac:dyDescent="0.3">
      <c r="A100" s="330">
        <v>95</v>
      </c>
      <c r="B100" s="331">
        <f>('TPWP Scenario Outputs'!B107-1)*'2010 Baseline Data'!$B$7</f>
        <v>-3.7298512945858618E-17</v>
      </c>
      <c r="C100" s="260">
        <f>ROUND(('TPWP Scenario Outputs'!C107-1)*'2010 Baseline Data'!$B$7,4)</f>
        <v>0</v>
      </c>
      <c r="D100" s="331">
        <f>('TPWP Scenario Outputs'!D107-1)*'2010 Baseline Data'!$B$11</f>
        <v>0</v>
      </c>
      <c r="E100" s="261">
        <f>ROUND(('TPWP Scenario Outputs'!E107-1)*'2010 Baseline Data'!$B$11,4)</f>
        <v>0</v>
      </c>
      <c r="F100" s="333">
        <f>('TPWP Scenario Outputs'!F107-1)*'2010 Baseline Data'!$B$13</f>
        <v>0</v>
      </c>
      <c r="G100" s="262">
        <f>ROUND(('TPWP Scenario Outputs'!G107-1)*'2010 Baseline Data'!$B$13,4)</f>
        <v>0</v>
      </c>
      <c r="H100" s="262">
        <f>ROUND('Other Sectors Outputs'!D116/'2010 Baseline Data'!C118,4)</f>
        <v>0</v>
      </c>
      <c r="I100" s="340">
        <f t="shared" si="1"/>
        <v>0</v>
      </c>
      <c r="M100" s="334">
        <v>0</v>
      </c>
    </row>
    <row r="101" spans="1:13" x14ac:dyDescent="0.3">
      <c r="A101" s="330">
        <v>96</v>
      </c>
      <c r="B101" s="331">
        <f>('TPWP Scenario Outputs'!B108-1)*'2010 Baseline Data'!$B$7</f>
        <v>-3.7298512945858618E-17</v>
      </c>
      <c r="C101" s="260">
        <f>ROUND(('TPWP Scenario Outputs'!C108-1)*'2010 Baseline Data'!$B$7,4)</f>
        <v>0</v>
      </c>
      <c r="D101" s="331">
        <f>('TPWP Scenario Outputs'!D108-1)*'2010 Baseline Data'!$B$11</f>
        <v>0</v>
      </c>
      <c r="E101" s="261">
        <f>ROUND(('TPWP Scenario Outputs'!E108-1)*'2010 Baseline Data'!$B$11,4)</f>
        <v>0</v>
      </c>
      <c r="F101" s="333">
        <f>('TPWP Scenario Outputs'!F108-1)*'2010 Baseline Data'!$B$13</f>
        <v>0</v>
      </c>
      <c r="G101" s="262">
        <f>ROUND(('TPWP Scenario Outputs'!G108-1)*'2010 Baseline Data'!$B$13,4)</f>
        <v>0</v>
      </c>
      <c r="H101" s="262">
        <f>ROUND('Other Sectors Outputs'!D117/'2010 Baseline Data'!C119,4)</f>
        <v>0</v>
      </c>
      <c r="I101" s="340">
        <f t="shared" si="1"/>
        <v>0</v>
      </c>
      <c r="M101" s="334">
        <v>0</v>
      </c>
    </row>
    <row r="102" spans="1:13" x14ac:dyDescent="0.3">
      <c r="A102" s="330">
        <v>97</v>
      </c>
      <c r="B102" s="331">
        <f>('TPWP Scenario Outputs'!B109-1)*'2010 Baseline Data'!$B$7</f>
        <v>0</v>
      </c>
      <c r="C102" s="260">
        <f>ROUND(('TPWP Scenario Outputs'!C109-1)*'2010 Baseline Data'!$B$7,4)</f>
        <v>0</v>
      </c>
      <c r="D102" s="331">
        <f>('TPWP Scenario Outputs'!D109-1)*'2010 Baseline Data'!$B$11</f>
        <v>0</v>
      </c>
      <c r="E102" s="261">
        <f>ROUND(('TPWP Scenario Outputs'!E109-1)*'2010 Baseline Data'!$B$11,4)</f>
        <v>0</v>
      </c>
      <c r="F102" s="333">
        <f>('TPWP Scenario Outputs'!F109-1)*'2010 Baseline Data'!$B$13</f>
        <v>0</v>
      </c>
      <c r="G102" s="262">
        <f>ROUND(('TPWP Scenario Outputs'!G109-1)*'2010 Baseline Data'!$B$13,4)</f>
        <v>0</v>
      </c>
      <c r="H102" s="262">
        <f>ROUND('Other Sectors Outputs'!D118/'2010 Baseline Data'!C120,4)</f>
        <v>0</v>
      </c>
      <c r="I102" s="340">
        <f t="shared" si="1"/>
        <v>0</v>
      </c>
      <c r="M102" s="334">
        <v>0</v>
      </c>
    </row>
    <row r="103" spans="1:13" x14ac:dyDescent="0.3">
      <c r="A103" s="330">
        <v>98</v>
      </c>
      <c r="B103" s="331">
        <f>('TPWP Scenario Outputs'!B110-1)*'2010 Baseline Data'!$B$7</f>
        <v>-3.7298512945858618E-17</v>
      </c>
      <c r="C103" s="260">
        <f>ROUND(('TPWP Scenario Outputs'!C110-1)*'2010 Baseline Data'!$B$7,4)</f>
        <v>0</v>
      </c>
      <c r="D103" s="331">
        <f>('TPWP Scenario Outputs'!D110-1)*'2010 Baseline Data'!$B$11</f>
        <v>0</v>
      </c>
      <c r="E103" s="261">
        <f>ROUND(('TPWP Scenario Outputs'!E110-1)*'2010 Baseline Data'!$B$11,4)</f>
        <v>0</v>
      </c>
      <c r="F103" s="333">
        <f>('TPWP Scenario Outputs'!F110-1)*'2010 Baseline Data'!$B$13</f>
        <v>0</v>
      </c>
      <c r="G103" s="262">
        <f>ROUND(('TPWP Scenario Outputs'!G110-1)*'2010 Baseline Data'!$B$13,4)</f>
        <v>0</v>
      </c>
      <c r="H103" s="262">
        <f>ROUND('Other Sectors Outputs'!D119/'2010 Baseline Data'!C121,4)</f>
        <v>0</v>
      </c>
      <c r="I103" s="340">
        <f t="shared" si="1"/>
        <v>0</v>
      </c>
      <c r="M103" s="334">
        <v>0</v>
      </c>
    </row>
    <row r="104" spans="1:13" x14ac:dyDescent="0.3">
      <c r="A104" s="330">
        <v>99</v>
      </c>
      <c r="B104" s="331">
        <f>('TPWP Scenario Outputs'!B111-1)*'2010 Baseline Data'!$B$7</f>
        <v>-3.7298512945858618E-17</v>
      </c>
      <c r="C104" s="260">
        <f>ROUND(('TPWP Scenario Outputs'!C111-1)*'2010 Baseline Data'!$B$7,4)</f>
        <v>0</v>
      </c>
      <c r="D104" s="331">
        <f>('TPWP Scenario Outputs'!D111-1)*'2010 Baseline Data'!$B$11</f>
        <v>0</v>
      </c>
      <c r="E104" s="261">
        <f>ROUND(('TPWP Scenario Outputs'!E111-1)*'2010 Baseline Data'!$B$11,4)</f>
        <v>0</v>
      </c>
      <c r="F104" s="333">
        <f>('TPWP Scenario Outputs'!F111-1)*'2010 Baseline Data'!$B$13</f>
        <v>0</v>
      </c>
      <c r="G104" s="262">
        <f>ROUND(('TPWP Scenario Outputs'!G111-1)*'2010 Baseline Data'!$B$13,4)</f>
        <v>0</v>
      </c>
      <c r="H104" s="262">
        <f>ROUND('Other Sectors Outputs'!D120/'2010 Baseline Data'!C122,4)</f>
        <v>0</v>
      </c>
      <c r="I104" s="340">
        <f t="shared" si="1"/>
        <v>0</v>
      </c>
      <c r="M104" s="334">
        <v>0</v>
      </c>
    </row>
    <row r="105" spans="1:13" x14ac:dyDescent="0.3">
      <c r="A105" s="330">
        <v>100</v>
      </c>
      <c r="B105" s="331">
        <f>('TPWP Scenario Outputs'!B112-1)*'2010 Baseline Data'!$B$7</f>
        <v>-7.4597025891717237E-17</v>
      </c>
      <c r="C105" s="260">
        <f>ROUND(('TPWP Scenario Outputs'!C112-1)*'2010 Baseline Data'!$B$7,4)</f>
        <v>0</v>
      </c>
      <c r="D105" s="331">
        <f>('TPWP Scenario Outputs'!D112-1)*'2010 Baseline Data'!$B$11</f>
        <v>0</v>
      </c>
      <c r="E105" s="261">
        <f>ROUND(('TPWP Scenario Outputs'!E112-1)*'2010 Baseline Data'!$B$11,4)</f>
        <v>0</v>
      </c>
      <c r="F105" s="333">
        <f>('TPWP Scenario Outputs'!F112-1)*'2010 Baseline Data'!$B$13</f>
        <v>0</v>
      </c>
      <c r="G105" s="262">
        <f>ROUND(('TPWP Scenario Outputs'!G112-1)*'2010 Baseline Data'!$B$13,4)</f>
        <v>0</v>
      </c>
      <c r="H105" s="262">
        <f>ROUND('Other Sectors Outputs'!D121/'2010 Baseline Data'!C123,4)</f>
        <v>0</v>
      </c>
      <c r="I105" s="340">
        <f t="shared" si="1"/>
        <v>0</v>
      </c>
      <c r="M105" s="334">
        <v>0</v>
      </c>
    </row>
    <row r="106" spans="1:13" x14ac:dyDescent="0.3">
      <c r="A106" s="330">
        <v>101</v>
      </c>
      <c r="B106" s="331">
        <f>('TPWP Scenario Outputs'!B113-1)*'2010 Baseline Data'!$B$7</f>
        <v>-3.7298512945858618E-17</v>
      </c>
      <c r="C106" s="260">
        <f>ROUND(('TPWP Scenario Outputs'!C113-1)*'2010 Baseline Data'!$B$7,4)</f>
        <v>0</v>
      </c>
      <c r="D106" s="331">
        <f>('TPWP Scenario Outputs'!D113-1)*'2010 Baseline Data'!$B$11</f>
        <v>0</v>
      </c>
      <c r="E106" s="261">
        <f>ROUND(('TPWP Scenario Outputs'!E113-1)*'2010 Baseline Data'!$B$11,4)</f>
        <v>0</v>
      </c>
      <c r="F106" s="333">
        <f>('TPWP Scenario Outputs'!F113-1)*'2010 Baseline Data'!$B$13</f>
        <v>0</v>
      </c>
      <c r="G106" s="262">
        <f>ROUND(('TPWP Scenario Outputs'!G113-1)*'2010 Baseline Data'!$B$13,4)</f>
        <v>0</v>
      </c>
      <c r="H106" s="262">
        <f>ROUND('Other Sectors Outputs'!D122/'2010 Baseline Data'!C124,4)</f>
        <v>0</v>
      </c>
      <c r="I106" s="340">
        <f t="shared" si="1"/>
        <v>0</v>
      </c>
      <c r="M106" s="334">
        <v>0</v>
      </c>
    </row>
    <row r="107" spans="1:13" x14ac:dyDescent="0.3">
      <c r="A107" s="330">
        <v>102</v>
      </c>
      <c r="B107" s="331">
        <f>('TPWP Scenario Outputs'!B114-1)*'2010 Baseline Data'!$B$7</f>
        <v>-3.7298512945858618E-17</v>
      </c>
      <c r="C107" s="260">
        <f>ROUND(('TPWP Scenario Outputs'!C114-1)*'2010 Baseline Data'!$B$7,4)</f>
        <v>0</v>
      </c>
      <c r="D107" s="331">
        <f>('TPWP Scenario Outputs'!D114-1)*'2010 Baseline Data'!$B$11</f>
        <v>0</v>
      </c>
      <c r="E107" s="261">
        <f>ROUND(('TPWP Scenario Outputs'!E114-1)*'2010 Baseline Data'!$B$11,4)</f>
        <v>0</v>
      </c>
      <c r="F107" s="333">
        <f>('TPWP Scenario Outputs'!F114-1)*'2010 Baseline Data'!$B$13</f>
        <v>0</v>
      </c>
      <c r="G107" s="262">
        <f>ROUND(('TPWP Scenario Outputs'!G114-1)*'2010 Baseline Data'!$B$13,4)</f>
        <v>0</v>
      </c>
      <c r="H107" s="262">
        <f>ROUND('Other Sectors Outputs'!D123/'2010 Baseline Data'!C125,4)</f>
        <v>0</v>
      </c>
      <c r="I107" s="340">
        <f t="shared" si="1"/>
        <v>0</v>
      </c>
      <c r="M107" s="334">
        <v>0</v>
      </c>
    </row>
    <row r="108" spans="1:13" x14ac:dyDescent="0.3">
      <c r="A108" s="330">
        <v>103</v>
      </c>
      <c r="B108" s="331">
        <f>('TPWP Scenario Outputs'!B115-1)*'2010 Baseline Data'!$B$7</f>
        <v>0</v>
      </c>
      <c r="C108" s="260">
        <f>ROUND(('TPWP Scenario Outputs'!C115-1)*'2010 Baseline Data'!$B$7,4)</f>
        <v>0</v>
      </c>
      <c r="D108" s="331">
        <f>('TPWP Scenario Outputs'!D115-1)*'2010 Baseline Data'!$B$11</f>
        <v>0</v>
      </c>
      <c r="E108" s="261">
        <f>ROUND(('TPWP Scenario Outputs'!E115-1)*'2010 Baseline Data'!$B$11,4)</f>
        <v>0</v>
      </c>
      <c r="F108" s="333">
        <f>('TPWP Scenario Outputs'!F115-1)*'2010 Baseline Data'!$B$13</f>
        <v>0</v>
      </c>
      <c r="G108" s="262">
        <f>ROUND(('TPWP Scenario Outputs'!G115-1)*'2010 Baseline Data'!$B$13,4)</f>
        <v>0</v>
      </c>
      <c r="H108" s="262">
        <f>ROUND('Other Sectors Outputs'!D124/'2010 Baseline Data'!C126,4)</f>
        <v>0</v>
      </c>
      <c r="I108" s="340">
        <f t="shared" si="1"/>
        <v>0</v>
      </c>
      <c r="M108" s="334">
        <v>0</v>
      </c>
    </row>
    <row r="109" spans="1:13" x14ac:dyDescent="0.3">
      <c r="A109" s="330">
        <v>104</v>
      </c>
      <c r="B109" s="331">
        <f>('TPWP Scenario Outputs'!B116-1)*'2010 Baseline Data'!$B$7</f>
        <v>-3.7298512945858618E-17</v>
      </c>
      <c r="C109" s="260">
        <f>ROUND(('TPWP Scenario Outputs'!C116-1)*'2010 Baseline Data'!$B$7,4)</f>
        <v>0</v>
      </c>
      <c r="D109" s="331">
        <f>('TPWP Scenario Outputs'!D116-1)*'2010 Baseline Data'!$B$11</f>
        <v>0</v>
      </c>
      <c r="E109" s="261">
        <f>ROUND(('TPWP Scenario Outputs'!E116-1)*'2010 Baseline Data'!$B$11,4)</f>
        <v>0</v>
      </c>
      <c r="F109" s="333">
        <f>('TPWP Scenario Outputs'!F116-1)*'2010 Baseline Data'!$B$13</f>
        <v>0</v>
      </c>
      <c r="G109" s="262">
        <f>ROUND(('TPWP Scenario Outputs'!G116-1)*'2010 Baseline Data'!$B$13,4)</f>
        <v>0</v>
      </c>
      <c r="H109" s="262">
        <f>ROUND('Other Sectors Outputs'!D125/'2010 Baseline Data'!C127,4)</f>
        <v>0</v>
      </c>
      <c r="I109" s="340">
        <f t="shared" si="1"/>
        <v>0</v>
      </c>
      <c r="M109" s="334">
        <v>0</v>
      </c>
    </row>
    <row r="110" spans="1:13" x14ac:dyDescent="0.3">
      <c r="A110" s="330">
        <v>105</v>
      </c>
      <c r="B110" s="331">
        <f>('TPWP Scenario Outputs'!B117-1)*'2010 Baseline Data'!$B$7</f>
        <v>-3.7298512945858618E-17</v>
      </c>
      <c r="C110" s="260">
        <f>ROUND(('TPWP Scenario Outputs'!C117-1)*'2010 Baseline Data'!$B$7,4)</f>
        <v>0</v>
      </c>
      <c r="D110" s="331">
        <f>('TPWP Scenario Outputs'!D117-1)*'2010 Baseline Data'!$B$11</f>
        <v>0</v>
      </c>
      <c r="E110" s="261">
        <f>ROUND(('TPWP Scenario Outputs'!E117-1)*'2010 Baseline Data'!$B$11,4)</f>
        <v>0</v>
      </c>
      <c r="F110" s="333">
        <f>('TPWP Scenario Outputs'!F117-1)*'2010 Baseline Data'!$B$13</f>
        <v>0</v>
      </c>
      <c r="G110" s="262">
        <f>ROUND(('TPWP Scenario Outputs'!G117-1)*'2010 Baseline Data'!$B$13,4)</f>
        <v>0</v>
      </c>
      <c r="H110" s="262">
        <f>ROUND('Other Sectors Outputs'!D126/'2010 Baseline Data'!C128,4)</f>
        <v>0</v>
      </c>
      <c r="I110" s="340">
        <f t="shared" si="1"/>
        <v>0</v>
      </c>
      <c r="M110" s="334">
        <v>0</v>
      </c>
    </row>
    <row r="111" spans="1:13" x14ac:dyDescent="0.3">
      <c r="A111" s="330">
        <v>106</v>
      </c>
      <c r="B111" s="331">
        <f>('TPWP Scenario Outputs'!B118-1)*'2010 Baseline Data'!$B$7</f>
        <v>-3.7298512945858618E-17</v>
      </c>
      <c r="C111" s="260">
        <f>ROUND(('TPWP Scenario Outputs'!C118-1)*'2010 Baseline Data'!$B$7,4)</f>
        <v>0</v>
      </c>
      <c r="D111" s="331">
        <f>('TPWP Scenario Outputs'!D118-1)*'2010 Baseline Data'!$B$11</f>
        <v>0</v>
      </c>
      <c r="E111" s="261">
        <f>ROUND(('TPWP Scenario Outputs'!E118-1)*'2010 Baseline Data'!$B$11,4)</f>
        <v>0</v>
      </c>
      <c r="F111" s="333">
        <f>('TPWP Scenario Outputs'!F118-1)*'2010 Baseline Data'!$B$13</f>
        <v>0</v>
      </c>
      <c r="G111" s="262">
        <f>ROUND(('TPWP Scenario Outputs'!G118-1)*'2010 Baseline Data'!$B$13,4)</f>
        <v>0</v>
      </c>
      <c r="H111" s="262">
        <f>ROUND('Other Sectors Outputs'!D127/'2010 Baseline Data'!C129,4)</f>
        <v>0</v>
      </c>
      <c r="I111" s="340">
        <f t="shared" si="1"/>
        <v>0</v>
      </c>
      <c r="M111" s="334">
        <v>0</v>
      </c>
    </row>
    <row r="112" spans="1:13" x14ac:dyDescent="0.3">
      <c r="A112" s="330">
        <v>107</v>
      </c>
      <c r="B112" s="331">
        <f>('TPWP Scenario Outputs'!B119-1)*'2010 Baseline Data'!$B$7</f>
        <v>-3.7298512945858618E-17</v>
      </c>
      <c r="C112" s="260">
        <f>ROUND(('TPWP Scenario Outputs'!C119-1)*'2010 Baseline Data'!$B$7,4)</f>
        <v>0</v>
      </c>
      <c r="D112" s="331">
        <f>('TPWP Scenario Outputs'!D119-1)*'2010 Baseline Data'!$B$11</f>
        <v>0</v>
      </c>
      <c r="E112" s="261">
        <f>ROUND(('TPWP Scenario Outputs'!E119-1)*'2010 Baseline Data'!$B$11,4)</f>
        <v>0</v>
      </c>
      <c r="F112" s="333">
        <f>('TPWP Scenario Outputs'!F119-1)*'2010 Baseline Data'!$B$13</f>
        <v>0</v>
      </c>
      <c r="G112" s="262">
        <f>ROUND(('TPWP Scenario Outputs'!G119-1)*'2010 Baseline Data'!$B$13,4)</f>
        <v>0</v>
      </c>
      <c r="H112" s="262">
        <f>ROUND('Other Sectors Outputs'!D128/'2010 Baseline Data'!C130,4)</f>
        <v>0</v>
      </c>
      <c r="I112" s="340">
        <f t="shared" si="1"/>
        <v>0</v>
      </c>
      <c r="M112" s="334">
        <v>0</v>
      </c>
    </row>
    <row r="113" spans="1:13" x14ac:dyDescent="0.3">
      <c r="A113" s="330">
        <v>108</v>
      </c>
      <c r="B113" s="331">
        <f>('TPWP Scenario Outputs'!B120-1)*'2010 Baseline Data'!$B$7</f>
        <v>-3.7298512945858618E-17</v>
      </c>
      <c r="C113" s="260">
        <f>ROUND(('TPWP Scenario Outputs'!C120-1)*'2010 Baseline Data'!$B$7,4)</f>
        <v>0</v>
      </c>
      <c r="D113" s="331">
        <f>('TPWP Scenario Outputs'!D120-1)*'2010 Baseline Data'!$B$11</f>
        <v>0</v>
      </c>
      <c r="E113" s="261">
        <f>ROUND(('TPWP Scenario Outputs'!E120-1)*'2010 Baseline Data'!$B$11,4)</f>
        <v>0</v>
      </c>
      <c r="F113" s="333">
        <f>('TPWP Scenario Outputs'!F120-1)*'2010 Baseline Data'!$B$13</f>
        <v>0</v>
      </c>
      <c r="G113" s="262">
        <f>ROUND(('TPWP Scenario Outputs'!G120-1)*'2010 Baseline Data'!$B$13,4)</f>
        <v>0</v>
      </c>
      <c r="H113" s="262">
        <f>ROUND('Other Sectors Outputs'!D129/'2010 Baseline Data'!C131,4)</f>
        <v>0</v>
      </c>
      <c r="I113" s="340">
        <f t="shared" si="1"/>
        <v>0</v>
      </c>
      <c r="M113" s="334">
        <v>0</v>
      </c>
    </row>
    <row r="114" spans="1:13" x14ac:dyDescent="0.3">
      <c r="A114" s="330">
        <v>109</v>
      </c>
      <c r="B114" s="331">
        <f>('TPWP Scenario Outputs'!B121-1)*'2010 Baseline Data'!$B$7</f>
        <v>-7.4597025891717237E-17</v>
      </c>
      <c r="C114" s="260">
        <f>ROUND(('TPWP Scenario Outputs'!C121-1)*'2010 Baseline Data'!$B$7,4)</f>
        <v>0</v>
      </c>
      <c r="D114" s="331">
        <f>('TPWP Scenario Outputs'!D121-1)*'2010 Baseline Data'!$B$11</f>
        <v>0</v>
      </c>
      <c r="E114" s="261">
        <f>ROUND(('TPWP Scenario Outputs'!E121-1)*'2010 Baseline Data'!$B$11,4)</f>
        <v>0</v>
      </c>
      <c r="F114" s="333">
        <f>('TPWP Scenario Outputs'!F121-1)*'2010 Baseline Data'!$B$13</f>
        <v>0</v>
      </c>
      <c r="G114" s="262">
        <f>ROUND(('TPWP Scenario Outputs'!G121-1)*'2010 Baseline Data'!$B$13,4)</f>
        <v>0</v>
      </c>
      <c r="H114" s="262">
        <f>ROUND('Other Sectors Outputs'!D130/'2010 Baseline Data'!C132,4)</f>
        <v>0</v>
      </c>
      <c r="I114" s="340">
        <f t="shared" si="1"/>
        <v>0</v>
      </c>
      <c r="M114" s="334">
        <v>0</v>
      </c>
    </row>
    <row r="115" spans="1:13" x14ac:dyDescent="0.3">
      <c r="A115" s="330">
        <v>110</v>
      </c>
      <c r="B115" s="331">
        <f>('TPWP Scenario Outputs'!B122-1)*'2010 Baseline Data'!$B$7</f>
        <v>-3.7298512945858618E-17</v>
      </c>
      <c r="C115" s="260">
        <f>ROUND(('TPWP Scenario Outputs'!C122-1)*'2010 Baseline Data'!$B$7,4)</f>
        <v>0</v>
      </c>
      <c r="D115" s="331">
        <f>('TPWP Scenario Outputs'!D122-1)*'2010 Baseline Data'!$B$11</f>
        <v>0</v>
      </c>
      <c r="E115" s="261">
        <f>ROUND(('TPWP Scenario Outputs'!E122-1)*'2010 Baseline Data'!$B$11,4)</f>
        <v>0</v>
      </c>
      <c r="F115" s="333">
        <f>('TPWP Scenario Outputs'!F122-1)*'2010 Baseline Data'!$B$13</f>
        <v>0</v>
      </c>
      <c r="G115" s="262">
        <f>ROUND(('TPWP Scenario Outputs'!G122-1)*'2010 Baseline Data'!$B$13,4)</f>
        <v>0</v>
      </c>
      <c r="H115" s="262">
        <f>ROUND('Other Sectors Outputs'!D131/'2010 Baseline Data'!C133,4)</f>
        <v>0</v>
      </c>
      <c r="I115" s="340">
        <f t="shared" si="1"/>
        <v>0</v>
      </c>
      <c r="M115" s="334">
        <v>0</v>
      </c>
    </row>
    <row r="116" spans="1:13" x14ac:dyDescent="0.3">
      <c r="A116" s="330">
        <v>111</v>
      </c>
      <c r="B116" s="331">
        <f>('TPWP Scenario Outputs'!B123-1)*'2010 Baseline Data'!$B$7</f>
        <v>0</v>
      </c>
      <c r="C116" s="260">
        <f>ROUND(('TPWP Scenario Outputs'!C123-1)*'2010 Baseline Data'!$B$7,4)</f>
        <v>0</v>
      </c>
      <c r="D116" s="331">
        <f>('TPWP Scenario Outputs'!D123-1)*'2010 Baseline Data'!$B$11</f>
        <v>0</v>
      </c>
      <c r="E116" s="261">
        <f>ROUND(('TPWP Scenario Outputs'!E123-1)*'2010 Baseline Data'!$B$11,4)</f>
        <v>0</v>
      </c>
      <c r="F116" s="333">
        <f>('TPWP Scenario Outputs'!F123-1)*'2010 Baseline Data'!$B$13</f>
        <v>0</v>
      </c>
      <c r="G116" s="262">
        <f>ROUND(('TPWP Scenario Outputs'!G123-1)*'2010 Baseline Data'!$B$13,4)</f>
        <v>0</v>
      </c>
      <c r="H116" s="262">
        <f>ROUND('Other Sectors Outputs'!D132/'2010 Baseline Data'!C134,4)</f>
        <v>0</v>
      </c>
      <c r="I116" s="340">
        <f t="shared" si="1"/>
        <v>0</v>
      </c>
      <c r="M116" s="334">
        <v>0</v>
      </c>
    </row>
    <row r="117" spans="1:13" x14ac:dyDescent="0.3">
      <c r="A117" s="330">
        <v>112</v>
      </c>
      <c r="B117" s="331">
        <f>('TPWP Scenario Outputs'!B124-1)*'2010 Baseline Data'!$B$7</f>
        <v>0</v>
      </c>
      <c r="C117" s="260">
        <f>ROUND(('TPWP Scenario Outputs'!C124-1)*'2010 Baseline Data'!$B$7,4)</f>
        <v>0</v>
      </c>
      <c r="D117" s="331">
        <f>('TPWP Scenario Outputs'!D124-1)*'2010 Baseline Data'!$B$11</f>
        <v>0</v>
      </c>
      <c r="E117" s="261">
        <f>ROUND(('TPWP Scenario Outputs'!E124-1)*'2010 Baseline Data'!$B$11,4)</f>
        <v>0</v>
      </c>
      <c r="F117" s="333">
        <f>('TPWP Scenario Outputs'!F124-1)*'2010 Baseline Data'!$B$13</f>
        <v>0</v>
      </c>
      <c r="G117" s="262">
        <f>ROUND(('TPWP Scenario Outputs'!G124-1)*'2010 Baseline Data'!$B$13,4)</f>
        <v>0</v>
      </c>
      <c r="H117" s="262">
        <f>ROUND('Other Sectors Outputs'!D133/'2010 Baseline Data'!C135,4)</f>
        <v>0</v>
      </c>
      <c r="I117" s="340">
        <f t="shared" si="1"/>
        <v>0</v>
      </c>
      <c r="M117" s="334">
        <v>0</v>
      </c>
    </row>
    <row r="118" spans="1:13" x14ac:dyDescent="0.3">
      <c r="A118" s="330">
        <v>113</v>
      </c>
      <c r="B118" s="331">
        <f>('TPWP Scenario Outputs'!B125-1)*'2010 Baseline Data'!$B$7</f>
        <v>-3.7298512945858618E-17</v>
      </c>
      <c r="C118" s="260">
        <f>ROUND(('TPWP Scenario Outputs'!C125-1)*'2010 Baseline Data'!$B$7,4)</f>
        <v>0</v>
      </c>
      <c r="D118" s="331">
        <f>('TPWP Scenario Outputs'!D125-1)*'2010 Baseline Data'!$B$11</f>
        <v>0</v>
      </c>
      <c r="E118" s="261">
        <f>ROUND(('TPWP Scenario Outputs'!E125-1)*'2010 Baseline Data'!$B$11,4)</f>
        <v>0</v>
      </c>
      <c r="F118" s="333">
        <f>('TPWP Scenario Outputs'!F125-1)*'2010 Baseline Data'!$B$13</f>
        <v>0</v>
      </c>
      <c r="G118" s="262">
        <f>ROUND(('TPWP Scenario Outputs'!G125-1)*'2010 Baseline Data'!$B$13,4)</f>
        <v>0</v>
      </c>
      <c r="H118" s="262">
        <f>ROUND('Other Sectors Outputs'!D134/'2010 Baseline Data'!C136,4)</f>
        <v>0</v>
      </c>
      <c r="I118" s="340">
        <f t="shared" si="1"/>
        <v>0</v>
      </c>
      <c r="M118" s="334">
        <v>0</v>
      </c>
    </row>
    <row r="119" spans="1:13" x14ac:dyDescent="0.3">
      <c r="A119" s="330">
        <v>114</v>
      </c>
      <c r="B119" s="331">
        <f>('TPWP Scenario Outputs'!B126-1)*'2010 Baseline Data'!$B$7</f>
        <v>-3.7298512945858618E-17</v>
      </c>
      <c r="C119" s="260">
        <f>ROUND(('TPWP Scenario Outputs'!C126-1)*'2010 Baseline Data'!$B$7,4)</f>
        <v>0</v>
      </c>
      <c r="D119" s="331">
        <f>('TPWP Scenario Outputs'!D126-1)*'2010 Baseline Data'!$B$11</f>
        <v>0</v>
      </c>
      <c r="E119" s="261">
        <f>ROUND(('TPWP Scenario Outputs'!E126-1)*'2010 Baseline Data'!$B$11,4)</f>
        <v>0</v>
      </c>
      <c r="F119" s="333">
        <f>('TPWP Scenario Outputs'!F126-1)*'2010 Baseline Data'!$B$13</f>
        <v>0</v>
      </c>
      <c r="G119" s="262">
        <f>ROUND(('TPWP Scenario Outputs'!G126-1)*'2010 Baseline Data'!$B$13,4)</f>
        <v>0</v>
      </c>
      <c r="H119" s="262">
        <f>ROUND('Other Sectors Outputs'!D135/'2010 Baseline Data'!C137,4)</f>
        <v>0</v>
      </c>
      <c r="I119" s="340">
        <f t="shared" si="1"/>
        <v>0</v>
      </c>
      <c r="M119" s="334">
        <v>0</v>
      </c>
    </row>
    <row r="120" spans="1:13" x14ac:dyDescent="0.3">
      <c r="A120" s="330">
        <v>115</v>
      </c>
      <c r="B120" s="331">
        <f>('TPWP Scenario Outputs'!B127-1)*'2010 Baseline Data'!$B$7</f>
        <v>0</v>
      </c>
      <c r="C120" s="260">
        <f>ROUND(('TPWP Scenario Outputs'!C127-1)*'2010 Baseline Data'!$B$7,4)</f>
        <v>0</v>
      </c>
      <c r="D120" s="331">
        <f>('TPWP Scenario Outputs'!D127-1)*'2010 Baseline Data'!$B$11</f>
        <v>0</v>
      </c>
      <c r="E120" s="261">
        <f>ROUND(('TPWP Scenario Outputs'!E127-1)*'2010 Baseline Data'!$B$11,4)</f>
        <v>0</v>
      </c>
      <c r="F120" s="333">
        <f>('TPWP Scenario Outputs'!F127-1)*'2010 Baseline Data'!$B$13</f>
        <v>0</v>
      </c>
      <c r="G120" s="262">
        <f>ROUND(('TPWP Scenario Outputs'!G127-1)*'2010 Baseline Data'!$B$13,4)</f>
        <v>0</v>
      </c>
      <c r="H120" s="262">
        <f>ROUND('Other Sectors Outputs'!D136/'2010 Baseline Data'!C138,4)</f>
        <v>0</v>
      </c>
      <c r="I120" s="340">
        <f t="shared" si="1"/>
        <v>0</v>
      </c>
      <c r="M120" s="334">
        <v>0</v>
      </c>
    </row>
    <row r="121" spans="1:13" x14ac:dyDescent="0.3">
      <c r="A121" s="330">
        <v>116</v>
      </c>
      <c r="B121" s="331">
        <f>('TPWP Scenario Outputs'!B128-1)*'2010 Baseline Data'!$B$7</f>
        <v>-3.7298512945858618E-17</v>
      </c>
      <c r="C121" s="260">
        <f>ROUND(('TPWP Scenario Outputs'!C128-1)*'2010 Baseline Data'!$B$7,4)</f>
        <v>0</v>
      </c>
      <c r="D121" s="331">
        <f>('TPWP Scenario Outputs'!D128-1)*'2010 Baseline Data'!$B$11</f>
        <v>0</v>
      </c>
      <c r="E121" s="261">
        <f>ROUND(('TPWP Scenario Outputs'!E128-1)*'2010 Baseline Data'!$B$11,4)</f>
        <v>0</v>
      </c>
      <c r="F121" s="333">
        <f>('TPWP Scenario Outputs'!F128-1)*'2010 Baseline Data'!$B$13</f>
        <v>0</v>
      </c>
      <c r="G121" s="262">
        <f>ROUND(('TPWP Scenario Outputs'!G128-1)*'2010 Baseline Data'!$B$13,4)</f>
        <v>0</v>
      </c>
      <c r="H121" s="262">
        <f>ROUND('Other Sectors Outputs'!D137/'2010 Baseline Data'!C139,4)</f>
        <v>0</v>
      </c>
      <c r="I121" s="340">
        <f t="shared" si="1"/>
        <v>0</v>
      </c>
      <c r="M121" s="334">
        <v>0</v>
      </c>
    </row>
    <row r="122" spans="1:13" x14ac:dyDescent="0.3">
      <c r="A122" s="330">
        <v>117</v>
      </c>
      <c r="B122" s="331">
        <f>('TPWP Scenario Outputs'!B129-1)*'2010 Baseline Data'!$B$7</f>
        <v>-3.7298512945858618E-17</v>
      </c>
      <c r="C122" s="260">
        <f>ROUND(('TPWP Scenario Outputs'!C129-1)*'2010 Baseline Data'!$B$7,4)</f>
        <v>0</v>
      </c>
      <c r="D122" s="331">
        <f>('TPWP Scenario Outputs'!D129-1)*'2010 Baseline Data'!$B$11</f>
        <v>0</v>
      </c>
      <c r="E122" s="261">
        <f>ROUND(('TPWP Scenario Outputs'!E129-1)*'2010 Baseline Data'!$B$11,4)</f>
        <v>0</v>
      </c>
      <c r="F122" s="333">
        <f>('TPWP Scenario Outputs'!F129-1)*'2010 Baseline Data'!$B$13</f>
        <v>0</v>
      </c>
      <c r="G122" s="262">
        <f>ROUND(('TPWP Scenario Outputs'!G129-1)*'2010 Baseline Data'!$B$13,4)</f>
        <v>0</v>
      </c>
      <c r="H122" s="262">
        <f>ROUND('Other Sectors Outputs'!D138/'2010 Baseline Data'!C140,4)</f>
        <v>0</v>
      </c>
      <c r="I122" s="340">
        <f t="shared" si="1"/>
        <v>0</v>
      </c>
      <c r="M122" s="334">
        <v>0</v>
      </c>
    </row>
    <row r="123" spans="1:13" x14ac:dyDescent="0.3">
      <c r="A123" s="330">
        <v>118</v>
      </c>
      <c r="B123" s="331">
        <f>('TPWP Scenario Outputs'!B130-1)*'2010 Baseline Data'!$B$7</f>
        <v>-3.7298512945858618E-17</v>
      </c>
      <c r="C123" s="260">
        <f>ROUND(('TPWP Scenario Outputs'!C130-1)*'2010 Baseline Data'!$B$7,4)</f>
        <v>0</v>
      </c>
      <c r="D123" s="331">
        <f>('TPWP Scenario Outputs'!D130-1)*'2010 Baseline Data'!$B$11</f>
        <v>0</v>
      </c>
      <c r="E123" s="261">
        <f>ROUND(('TPWP Scenario Outputs'!E130-1)*'2010 Baseline Data'!$B$11,4)</f>
        <v>0</v>
      </c>
      <c r="F123" s="333">
        <f>('TPWP Scenario Outputs'!F130-1)*'2010 Baseline Data'!$B$13</f>
        <v>0</v>
      </c>
      <c r="G123" s="262">
        <f>ROUND(('TPWP Scenario Outputs'!G130-1)*'2010 Baseline Data'!$B$13,4)</f>
        <v>0</v>
      </c>
      <c r="H123" s="262">
        <f>ROUND('Other Sectors Outputs'!D139/'2010 Baseline Data'!C141,4)</f>
        <v>0</v>
      </c>
      <c r="I123" s="340">
        <f t="shared" si="1"/>
        <v>0</v>
      </c>
      <c r="M123" s="334">
        <v>0</v>
      </c>
    </row>
    <row r="124" spans="1:13" x14ac:dyDescent="0.3">
      <c r="A124" s="330">
        <v>119</v>
      </c>
      <c r="B124" s="331">
        <f>('TPWP Scenario Outputs'!B131-1)*'2010 Baseline Data'!$B$7</f>
        <v>-3.7298512945858618E-17</v>
      </c>
      <c r="C124" s="260">
        <f>ROUND(('TPWP Scenario Outputs'!C131-1)*'2010 Baseline Data'!$B$7,4)</f>
        <v>0</v>
      </c>
      <c r="D124" s="331">
        <f>('TPWP Scenario Outputs'!D131-1)*'2010 Baseline Data'!$B$11</f>
        <v>0</v>
      </c>
      <c r="E124" s="261">
        <f>ROUND(('TPWP Scenario Outputs'!E131-1)*'2010 Baseline Data'!$B$11,4)</f>
        <v>0</v>
      </c>
      <c r="F124" s="333">
        <f>('TPWP Scenario Outputs'!F131-1)*'2010 Baseline Data'!$B$13</f>
        <v>0</v>
      </c>
      <c r="G124" s="262">
        <f>ROUND(('TPWP Scenario Outputs'!G131-1)*'2010 Baseline Data'!$B$13,4)</f>
        <v>0</v>
      </c>
      <c r="H124" s="262">
        <f>ROUND('Other Sectors Outputs'!D140/'2010 Baseline Data'!C142,4)</f>
        <v>0</v>
      </c>
      <c r="I124" s="340">
        <f t="shared" si="1"/>
        <v>0</v>
      </c>
      <c r="M124" s="334">
        <v>0</v>
      </c>
    </row>
    <row r="125" spans="1:13" x14ac:dyDescent="0.3">
      <c r="A125" s="330">
        <v>120</v>
      </c>
      <c r="B125" s="331">
        <f>('TPWP Scenario Outputs'!B132-1)*'2010 Baseline Data'!$B$7</f>
        <v>-3.7298512945858618E-17</v>
      </c>
      <c r="C125" s="260">
        <f>ROUND(('TPWP Scenario Outputs'!C132-1)*'2010 Baseline Data'!$B$7,4)</f>
        <v>0</v>
      </c>
      <c r="D125" s="331">
        <f>('TPWP Scenario Outputs'!D132-1)*'2010 Baseline Data'!$B$11</f>
        <v>0</v>
      </c>
      <c r="E125" s="261">
        <f>ROUND(('TPWP Scenario Outputs'!E132-1)*'2010 Baseline Data'!$B$11,4)</f>
        <v>0</v>
      </c>
      <c r="F125" s="333">
        <f>('TPWP Scenario Outputs'!F132-1)*'2010 Baseline Data'!$B$13</f>
        <v>0</v>
      </c>
      <c r="G125" s="262">
        <f>ROUND(('TPWP Scenario Outputs'!G132-1)*'2010 Baseline Data'!$B$13,4)</f>
        <v>0</v>
      </c>
      <c r="H125" s="262">
        <f>ROUND('Other Sectors Outputs'!D141/'2010 Baseline Data'!C143,4)</f>
        <v>0</v>
      </c>
      <c r="I125" s="340">
        <f t="shared" si="1"/>
        <v>0</v>
      </c>
      <c r="M125" s="334">
        <v>0</v>
      </c>
    </row>
    <row r="126" spans="1:13" x14ac:dyDescent="0.3">
      <c r="A126" s="330">
        <v>121</v>
      </c>
      <c r="B126" s="331">
        <f>('TPWP Scenario Outputs'!B133-1)*'2010 Baseline Data'!$B$7</f>
        <v>-3.7298512945858618E-17</v>
      </c>
      <c r="C126" s="260">
        <f>ROUND(('TPWP Scenario Outputs'!C133-1)*'2010 Baseline Data'!$B$7,4)</f>
        <v>0</v>
      </c>
      <c r="D126" s="331">
        <f>('TPWP Scenario Outputs'!D133-1)*'2010 Baseline Data'!$B$11</f>
        <v>0</v>
      </c>
      <c r="E126" s="261">
        <f>ROUND(('TPWP Scenario Outputs'!E133-1)*'2010 Baseline Data'!$B$11,4)</f>
        <v>0</v>
      </c>
      <c r="F126" s="333">
        <f>('TPWP Scenario Outputs'!F133-1)*'2010 Baseline Data'!$B$13</f>
        <v>0</v>
      </c>
      <c r="G126" s="262">
        <f>ROUND(('TPWP Scenario Outputs'!G133-1)*'2010 Baseline Data'!$B$13,4)</f>
        <v>0</v>
      </c>
      <c r="H126" s="262">
        <f>ROUND('Other Sectors Outputs'!D142/'2010 Baseline Data'!C144,4)</f>
        <v>0</v>
      </c>
      <c r="I126" s="340">
        <f t="shared" si="1"/>
        <v>0</v>
      </c>
      <c r="M126" s="334">
        <v>0</v>
      </c>
    </row>
    <row r="127" spans="1:13" x14ac:dyDescent="0.3">
      <c r="A127" s="330">
        <v>122</v>
      </c>
      <c r="B127" s="331">
        <f>('TPWP Scenario Outputs'!B134-1)*'2010 Baseline Data'!$B$7</f>
        <v>-3.7298512945858618E-17</v>
      </c>
      <c r="C127" s="260">
        <f>ROUND(('TPWP Scenario Outputs'!C134-1)*'2010 Baseline Data'!$B$7,4)</f>
        <v>0</v>
      </c>
      <c r="D127" s="331">
        <f>('TPWP Scenario Outputs'!D134-1)*'2010 Baseline Data'!$B$11</f>
        <v>0</v>
      </c>
      <c r="E127" s="261">
        <f>ROUND(('TPWP Scenario Outputs'!E134-1)*'2010 Baseline Data'!$B$11,4)</f>
        <v>0</v>
      </c>
      <c r="F127" s="333">
        <f>('TPWP Scenario Outputs'!F134-1)*'2010 Baseline Data'!$B$13</f>
        <v>0</v>
      </c>
      <c r="G127" s="262">
        <f>ROUND(('TPWP Scenario Outputs'!G134-1)*'2010 Baseline Data'!$B$13,4)</f>
        <v>0</v>
      </c>
      <c r="H127" s="262">
        <f>ROUND('Other Sectors Outputs'!D143/'2010 Baseline Data'!C145,4)</f>
        <v>0</v>
      </c>
      <c r="I127" s="340">
        <f t="shared" si="1"/>
        <v>0</v>
      </c>
      <c r="M127" s="334">
        <v>0</v>
      </c>
    </row>
    <row r="128" spans="1:13" x14ac:dyDescent="0.3">
      <c r="A128" s="330">
        <v>123</v>
      </c>
      <c r="B128" s="331">
        <f>('TPWP Scenario Outputs'!B135-1)*'2010 Baseline Data'!$B$7</f>
        <v>0</v>
      </c>
      <c r="C128" s="260">
        <f>ROUND(('TPWP Scenario Outputs'!C135-1)*'2010 Baseline Data'!$B$7,4)</f>
        <v>0</v>
      </c>
      <c r="D128" s="331">
        <f>('TPWP Scenario Outputs'!D135-1)*'2010 Baseline Data'!$B$11</f>
        <v>0</v>
      </c>
      <c r="E128" s="261">
        <f>ROUND(('TPWP Scenario Outputs'!E135-1)*'2010 Baseline Data'!$B$11,4)</f>
        <v>0</v>
      </c>
      <c r="F128" s="333">
        <f>('TPWP Scenario Outputs'!F135-1)*'2010 Baseline Data'!$B$13</f>
        <v>0</v>
      </c>
      <c r="G128" s="262">
        <f>ROUND(('TPWP Scenario Outputs'!G135-1)*'2010 Baseline Data'!$B$13,4)</f>
        <v>0</v>
      </c>
      <c r="H128" s="262">
        <f>ROUND('Other Sectors Outputs'!D144/'2010 Baseline Data'!C146,4)</f>
        <v>0</v>
      </c>
      <c r="I128" s="340">
        <f t="shared" si="1"/>
        <v>0</v>
      </c>
      <c r="M128" s="334">
        <v>0</v>
      </c>
    </row>
    <row r="129" spans="1:13" x14ac:dyDescent="0.3">
      <c r="A129" s="330">
        <v>124</v>
      </c>
      <c r="B129" s="331">
        <f>('TPWP Scenario Outputs'!B136-1)*'2010 Baseline Data'!$B$7</f>
        <v>-7.4597025891717237E-17</v>
      </c>
      <c r="C129" s="260">
        <f>ROUND(('TPWP Scenario Outputs'!C136-1)*'2010 Baseline Data'!$B$7,4)</f>
        <v>0</v>
      </c>
      <c r="D129" s="331">
        <f>('TPWP Scenario Outputs'!D136-1)*'2010 Baseline Data'!$B$11</f>
        <v>0</v>
      </c>
      <c r="E129" s="261">
        <f>ROUND(('TPWP Scenario Outputs'!E136-1)*'2010 Baseline Data'!$B$11,4)</f>
        <v>0</v>
      </c>
      <c r="F129" s="333">
        <f>('TPWP Scenario Outputs'!F136-1)*'2010 Baseline Data'!$B$13</f>
        <v>0</v>
      </c>
      <c r="G129" s="262">
        <f>ROUND(('TPWP Scenario Outputs'!G136-1)*'2010 Baseline Data'!$B$13,4)</f>
        <v>0</v>
      </c>
      <c r="H129" s="262">
        <f>ROUND('Other Sectors Outputs'!D145/'2010 Baseline Data'!C147,4)</f>
        <v>0</v>
      </c>
      <c r="I129" s="340">
        <f t="shared" si="1"/>
        <v>0</v>
      </c>
      <c r="M129" s="334">
        <v>0</v>
      </c>
    </row>
    <row r="130" spans="1:13" x14ac:dyDescent="0.3">
      <c r="A130" s="330">
        <v>125</v>
      </c>
      <c r="B130" s="331">
        <f>('TPWP Scenario Outputs'!B137-1)*'2010 Baseline Data'!$B$7</f>
        <v>-7.4597025891717237E-17</v>
      </c>
      <c r="C130" s="260">
        <f>ROUND(('TPWP Scenario Outputs'!C137-1)*'2010 Baseline Data'!$B$7,4)</f>
        <v>0</v>
      </c>
      <c r="D130" s="331">
        <f>('TPWP Scenario Outputs'!D137-1)*'2010 Baseline Data'!$B$11</f>
        <v>0</v>
      </c>
      <c r="E130" s="261">
        <f>ROUND(('TPWP Scenario Outputs'!E137-1)*'2010 Baseline Data'!$B$11,4)</f>
        <v>0</v>
      </c>
      <c r="F130" s="333">
        <f>('TPWP Scenario Outputs'!F137-1)*'2010 Baseline Data'!$B$13</f>
        <v>0</v>
      </c>
      <c r="G130" s="262">
        <f>ROUND(('TPWP Scenario Outputs'!G137-1)*'2010 Baseline Data'!$B$13,4)</f>
        <v>0</v>
      </c>
      <c r="H130" s="262">
        <f>ROUND('Other Sectors Outputs'!D146/'2010 Baseline Data'!C148,4)</f>
        <v>0</v>
      </c>
      <c r="I130" s="340">
        <f t="shared" si="1"/>
        <v>0</v>
      </c>
      <c r="M130" s="334">
        <v>0</v>
      </c>
    </row>
    <row r="131" spans="1:13" x14ac:dyDescent="0.3">
      <c r="A131" s="330">
        <v>126</v>
      </c>
      <c r="B131" s="331">
        <f>('TPWP Scenario Outputs'!B138-1)*'2010 Baseline Data'!$B$7</f>
        <v>0</v>
      </c>
      <c r="C131" s="260">
        <f>ROUND(('TPWP Scenario Outputs'!C138-1)*'2010 Baseline Data'!$B$7,4)</f>
        <v>0</v>
      </c>
      <c r="D131" s="331">
        <f>('TPWP Scenario Outputs'!D138-1)*'2010 Baseline Data'!$B$11</f>
        <v>0</v>
      </c>
      <c r="E131" s="261">
        <f>ROUND(('TPWP Scenario Outputs'!E138-1)*'2010 Baseline Data'!$B$11,4)</f>
        <v>0</v>
      </c>
      <c r="F131" s="333">
        <f>('TPWP Scenario Outputs'!F138-1)*'2010 Baseline Data'!$B$13</f>
        <v>0</v>
      </c>
      <c r="G131" s="262">
        <f>ROUND(('TPWP Scenario Outputs'!G138-1)*'2010 Baseline Data'!$B$13,4)</f>
        <v>0</v>
      </c>
      <c r="H131" s="262">
        <f>ROUND('Other Sectors Outputs'!D147/'2010 Baseline Data'!C149,4)</f>
        <v>0</v>
      </c>
      <c r="I131" s="340">
        <f t="shared" si="1"/>
        <v>0</v>
      </c>
      <c r="M131" s="334">
        <v>0</v>
      </c>
    </row>
    <row r="132" spans="1:13" x14ac:dyDescent="0.3">
      <c r="A132" s="330">
        <v>127</v>
      </c>
      <c r="B132" s="331">
        <f>('TPWP Scenario Outputs'!B139-1)*'2010 Baseline Data'!$B$7</f>
        <v>0</v>
      </c>
      <c r="C132" s="260">
        <f>ROUND(('TPWP Scenario Outputs'!C139-1)*'2010 Baseline Data'!$B$7,4)</f>
        <v>0</v>
      </c>
      <c r="D132" s="331">
        <f>('TPWP Scenario Outputs'!D139-1)*'2010 Baseline Data'!$B$11</f>
        <v>0</v>
      </c>
      <c r="E132" s="261">
        <f>ROUND(('TPWP Scenario Outputs'!E139-1)*'2010 Baseline Data'!$B$11,4)</f>
        <v>0</v>
      </c>
      <c r="F132" s="333">
        <f>('TPWP Scenario Outputs'!F139-1)*'2010 Baseline Data'!$B$13</f>
        <v>0</v>
      </c>
      <c r="G132" s="262">
        <f>ROUND(('TPWP Scenario Outputs'!G139-1)*'2010 Baseline Data'!$B$13,4)</f>
        <v>0</v>
      </c>
      <c r="H132" s="262">
        <f>ROUND('Other Sectors Outputs'!D148/'2010 Baseline Data'!C150,4)</f>
        <v>0</v>
      </c>
      <c r="I132" s="340">
        <f t="shared" si="1"/>
        <v>0</v>
      </c>
      <c r="M132" s="334">
        <v>0</v>
      </c>
    </row>
    <row r="133" spans="1:13" x14ac:dyDescent="0.3">
      <c r="A133" s="330">
        <v>128</v>
      </c>
      <c r="B133" s="331">
        <f>('TPWP Scenario Outputs'!B140-1)*'2010 Baseline Data'!$B$7</f>
        <v>0</v>
      </c>
      <c r="C133" s="260">
        <f>ROUND(('TPWP Scenario Outputs'!C140-1)*'2010 Baseline Data'!$B$7,4)</f>
        <v>0</v>
      </c>
      <c r="D133" s="331">
        <f>('TPWP Scenario Outputs'!D140-1)*'2010 Baseline Data'!$B$11</f>
        <v>0</v>
      </c>
      <c r="E133" s="261">
        <f>ROUND(('TPWP Scenario Outputs'!E140-1)*'2010 Baseline Data'!$B$11,4)</f>
        <v>0</v>
      </c>
      <c r="F133" s="333">
        <f>('TPWP Scenario Outputs'!F140-1)*'2010 Baseline Data'!$B$13</f>
        <v>0</v>
      </c>
      <c r="G133" s="262">
        <f>ROUND(('TPWP Scenario Outputs'!G140-1)*'2010 Baseline Data'!$B$13,4)</f>
        <v>0</v>
      </c>
      <c r="H133" s="262">
        <f>ROUND('Other Sectors Outputs'!D149/'2010 Baseline Data'!C151,4)</f>
        <v>0</v>
      </c>
      <c r="I133" s="340">
        <f t="shared" si="1"/>
        <v>0</v>
      </c>
      <c r="M133" s="334">
        <v>0</v>
      </c>
    </row>
    <row r="134" spans="1:13" x14ac:dyDescent="0.3">
      <c r="A134" s="330">
        <v>129</v>
      </c>
      <c r="B134" s="331">
        <f>('TPWP Scenario Outputs'!B141-1)*'2010 Baseline Data'!$B$7</f>
        <v>0</v>
      </c>
      <c r="C134" s="260">
        <f>ROUND(('TPWP Scenario Outputs'!C141-1)*'2010 Baseline Data'!$B$7,4)</f>
        <v>0</v>
      </c>
      <c r="D134" s="331">
        <f>('TPWP Scenario Outputs'!D141-1)*'2010 Baseline Data'!$B$11</f>
        <v>0</v>
      </c>
      <c r="E134" s="261">
        <f>ROUND(('TPWP Scenario Outputs'!E141-1)*'2010 Baseline Data'!$B$11,4)</f>
        <v>0</v>
      </c>
      <c r="F134" s="333">
        <f>('TPWP Scenario Outputs'!F141-1)*'2010 Baseline Data'!$B$13</f>
        <v>0</v>
      </c>
      <c r="G134" s="262">
        <f>ROUND(('TPWP Scenario Outputs'!G141-1)*'2010 Baseline Data'!$B$13,4)</f>
        <v>0</v>
      </c>
      <c r="H134" s="262">
        <f>ROUND('Other Sectors Outputs'!D150/'2010 Baseline Data'!C152,4)</f>
        <v>0</v>
      </c>
      <c r="I134" s="340">
        <f t="shared" si="1"/>
        <v>0</v>
      </c>
      <c r="M134" s="334">
        <v>0</v>
      </c>
    </row>
    <row r="135" spans="1:13" x14ac:dyDescent="0.3">
      <c r="A135" s="330">
        <v>130</v>
      </c>
      <c r="B135" s="331">
        <f>('TPWP Scenario Outputs'!B142-1)*'2010 Baseline Data'!$B$7</f>
        <v>0</v>
      </c>
      <c r="C135" s="260">
        <f>ROUND(('TPWP Scenario Outputs'!C142-1)*'2010 Baseline Data'!$B$7,4)</f>
        <v>0</v>
      </c>
      <c r="D135" s="331">
        <f>('TPWP Scenario Outputs'!D142-1)*'2010 Baseline Data'!$B$11</f>
        <v>0</v>
      </c>
      <c r="E135" s="261">
        <f>ROUND(('TPWP Scenario Outputs'!E142-1)*'2010 Baseline Data'!$B$11,4)</f>
        <v>0</v>
      </c>
      <c r="F135" s="333">
        <f>('TPWP Scenario Outputs'!F142-1)*'2010 Baseline Data'!$B$13</f>
        <v>0</v>
      </c>
      <c r="G135" s="262">
        <f>ROUND(('TPWP Scenario Outputs'!G142-1)*'2010 Baseline Data'!$B$13,4)</f>
        <v>0</v>
      </c>
      <c r="H135" s="262">
        <f>ROUND('Other Sectors Outputs'!D151/'2010 Baseline Data'!C153,4)</f>
        <v>0</v>
      </c>
      <c r="I135" s="340">
        <f t="shared" ref="I135:I155" si="2">C135+E135+G135+H135</f>
        <v>0</v>
      </c>
      <c r="M135" s="334">
        <v>0</v>
      </c>
    </row>
    <row r="136" spans="1:13" x14ac:dyDescent="0.3">
      <c r="A136" s="330">
        <v>131</v>
      </c>
      <c r="B136" s="331">
        <f>('TPWP Scenario Outputs'!B143-1)*'2010 Baseline Data'!$B$7</f>
        <v>0</v>
      </c>
      <c r="C136" s="260">
        <f>ROUND(('TPWP Scenario Outputs'!C143-1)*'2010 Baseline Data'!$B$7,4)</f>
        <v>0</v>
      </c>
      <c r="D136" s="331">
        <f>('TPWP Scenario Outputs'!D143-1)*'2010 Baseline Data'!$B$11</f>
        <v>0</v>
      </c>
      <c r="E136" s="261">
        <f>ROUND(('TPWP Scenario Outputs'!E143-1)*'2010 Baseline Data'!$B$11,4)</f>
        <v>0</v>
      </c>
      <c r="F136" s="333">
        <f>('TPWP Scenario Outputs'!F143-1)*'2010 Baseline Data'!$B$13</f>
        <v>0</v>
      </c>
      <c r="G136" s="262">
        <f>ROUND(('TPWP Scenario Outputs'!G143-1)*'2010 Baseline Data'!$B$13,4)</f>
        <v>0</v>
      </c>
      <c r="H136" s="262">
        <f>ROUND('Other Sectors Outputs'!D152/'2010 Baseline Data'!C154,4)</f>
        <v>0</v>
      </c>
      <c r="I136" s="340">
        <f t="shared" si="2"/>
        <v>0</v>
      </c>
      <c r="M136" s="334">
        <v>0</v>
      </c>
    </row>
    <row r="137" spans="1:13" x14ac:dyDescent="0.3">
      <c r="A137" s="330">
        <v>132</v>
      </c>
      <c r="B137" s="331">
        <f>('TPWP Scenario Outputs'!B144-1)*'2010 Baseline Data'!$B$7</f>
        <v>0</v>
      </c>
      <c r="C137" s="260">
        <f>ROUND(('TPWP Scenario Outputs'!C144-1)*'2010 Baseline Data'!$B$7,4)</f>
        <v>0</v>
      </c>
      <c r="D137" s="331">
        <f>('TPWP Scenario Outputs'!D144-1)*'2010 Baseline Data'!$B$11</f>
        <v>0</v>
      </c>
      <c r="E137" s="261">
        <f>ROUND(('TPWP Scenario Outputs'!E144-1)*'2010 Baseline Data'!$B$11,4)</f>
        <v>0</v>
      </c>
      <c r="F137" s="333">
        <f>('TPWP Scenario Outputs'!F144-1)*'2010 Baseline Data'!$B$13</f>
        <v>0</v>
      </c>
      <c r="G137" s="262">
        <f>ROUND(('TPWP Scenario Outputs'!G144-1)*'2010 Baseline Data'!$B$13,4)</f>
        <v>0</v>
      </c>
      <c r="H137" s="262">
        <f>ROUND('Other Sectors Outputs'!D153/'2010 Baseline Data'!C155,4)</f>
        <v>0</v>
      </c>
      <c r="I137" s="340">
        <f t="shared" si="2"/>
        <v>0</v>
      </c>
      <c r="M137" s="334">
        <v>0</v>
      </c>
    </row>
    <row r="138" spans="1:13" x14ac:dyDescent="0.3">
      <c r="A138" s="330">
        <v>133</v>
      </c>
      <c r="B138" s="331">
        <f>('TPWP Scenario Outputs'!B145-1)*'2010 Baseline Data'!$B$7</f>
        <v>0</v>
      </c>
      <c r="C138" s="260">
        <f>ROUND(('TPWP Scenario Outputs'!C145-1)*'2010 Baseline Data'!$B$7,4)</f>
        <v>0</v>
      </c>
      <c r="D138" s="331">
        <f>('TPWP Scenario Outputs'!D145-1)*'2010 Baseline Data'!$B$11</f>
        <v>0</v>
      </c>
      <c r="E138" s="261">
        <f>ROUND(('TPWP Scenario Outputs'!E145-1)*'2010 Baseline Data'!$B$11,4)</f>
        <v>0</v>
      </c>
      <c r="F138" s="333">
        <f>('TPWP Scenario Outputs'!F145-1)*'2010 Baseline Data'!$B$13</f>
        <v>0</v>
      </c>
      <c r="G138" s="262">
        <f>ROUND(('TPWP Scenario Outputs'!G145-1)*'2010 Baseline Data'!$B$13,4)</f>
        <v>0</v>
      </c>
      <c r="H138" s="262">
        <f>ROUND('Other Sectors Outputs'!D154/'2010 Baseline Data'!C156,4)</f>
        <v>0</v>
      </c>
      <c r="I138" s="340">
        <f t="shared" si="2"/>
        <v>0</v>
      </c>
      <c r="M138" s="334">
        <v>0</v>
      </c>
    </row>
    <row r="139" spans="1:13" x14ac:dyDescent="0.3">
      <c r="A139" s="330">
        <v>134</v>
      </c>
      <c r="B139" s="331">
        <f>('TPWP Scenario Outputs'!B146-1)*'2010 Baseline Data'!$B$7</f>
        <v>0</v>
      </c>
      <c r="C139" s="260">
        <f>ROUND(('TPWP Scenario Outputs'!C146-1)*'2010 Baseline Data'!$B$7,4)</f>
        <v>0</v>
      </c>
      <c r="D139" s="331">
        <f>('TPWP Scenario Outputs'!D146-1)*'2010 Baseline Data'!$B$11</f>
        <v>0</v>
      </c>
      <c r="E139" s="261">
        <f>ROUND(('TPWP Scenario Outputs'!E146-1)*'2010 Baseline Data'!$B$11,4)</f>
        <v>0</v>
      </c>
      <c r="F139" s="333">
        <f>('TPWP Scenario Outputs'!F146-1)*'2010 Baseline Data'!$B$13</f>
        <v>0</v>
      </c>
      <c r="G139" s="262">
        <f>ROUND(('TPWP Scenario Outputs'!G146-1)*'2010 Baseline Data'!$B$13,4)</f>
        <v>0</v>
      </c>
      <c r="H139" s="262">
        <f>ROUND('Other Sectors Outputs'!D155/'2010 Baseline Data'!C157,4)</f>
        <v>0</v>
      </c>
      <c r="I139" s="340">
        <f t="shared" si="2"/>
        <v>0</v>
      </c>
      <c r="M139" s="334">
        <v>0</v>
      </c>
    </row>
    <row r="140" spans="1:13" x14ac:dyDescent="0.3">
      <c r="A140" s="330">
        <v>135</v>
      </c>
      <c r="B140" s="331">
        <f>('TPWP Scenario Outputs'!B147-1)*'2010 Baseline Data'!$B$7</f>
        <v>0</v>
      </c>
      <c r="C140" s="260">
        <f>ROUND(('TPWP Scenario Outputs'!C147-1)*'2010 Baseline Data'!$B$7,4)</f>
        <v>0</v>
      </c>
      <c r="D140" s="331">
        <f>('TPWP Scenario Outputs'!D147-1)*'2010 Baseline Data'!$B$11</f>
        <v>0</v>
      </c>
      <c r="E140" s="261">
        <f>ROUND(('TPWP Scenario Outputs'!E147-1)*'2010 Baseline Data'!$B$11,4)</f>
        <v>0</v>
      </c>
      <c r="F140" s="333">
        <f>('TPWP Scenario Outputs'!F147-1)*'2010 Baseline Data'!$B$13</f>
        <v>0</v>
      </c>
      <c r="G140" s="262">
        <f>ROUND(('TPWP Scenario Outputs'!G147-1)*'2010 Baseline Data'!$B$13,4)</f>
        <v>0</v>
      </c>
      <c r="H140" s="262">
        <f>ROUND('Other Sectors Outputs'!D156/'2010 Baseline Data'!C158,4)</f>
        <v>0</v>
      </c>
      <c r="I140" s="340">
        <f t="shared" si="2"/>
        <v>0</v>
      </c>
      <c r="M140" s="334">
        <v>0</v>
      </c>
    </row>
    <row r="141" spans="1:13" x14ac:dyDescent="0.3">
      <c r="A141" s="330">
        <v>136</v>
      </c>
      <c r="B141" s="331">
        <f>('TPWP Scenario Outputs'!B148-1)*'2010 Baseline Data'!$B$7</f>
        <v>-7.4597025891717237E-17</v>
      </c>
      <c r="C141" s="260">
        <f>ROUND(('TPWP Scenario Outputs'!C148-1)*'2010 Baseline Data'!$B$7,4)</f>
        <v>0</v>
      </c>
      <c r="D141" s="331">
        <f>('TPWP Scenario Outputs'!D148-1)*'2010 Baseline Data'!$B$11</f>
        <v>0</v>
      </c>
      <c r="E141" s="261">
        <f>ROUND(('TPWP Scenario Outputs'!E148-1)*'2010 Baseline Data'!$B$11,4)</f>
        <v>0</v>
      </c>
      <c r="F141" s="333">
        <f>('TPWP Scenario Outputs'!F148-1)*'2010 Baseline Data'!$B$13</f>
        <v>0</v>
      </c>
      <c r="G141" s="262">
        <f>ROUND(('TPWP Scenario Outputs'!G148-1)*'2010 Baseline Data'!$B$13,4)</f>
        <v>0</v>
      </c>
      <c r="H141" s="262">
        <f>ROUND('Other Sectors Outputs'!D157/'2010 Baseline Data'!C159,4)</f>
        <v>0</v>
      </c>
      <c r="I141" s="340">
        <f t="shared" si="2"/>
        <v>0</v>
      </c>
      <c r="M141" s="334">
        <v>0</v>
      </c>
    </row>
    <row r="142" spans="1:13" x14ac:dyDescent="0.3">
      <c r="A142" s="330">
        <v>137</v>
      </c>
      <c r="B142" s="331">
        <f>('TPWP Scenario Outputs'!B149-1)*'2010 Baseline Data'!$B$7</f>
        <v>0</v>
      </c>
      <c r="C142" s="260">
        <f>ROUND(('TPWP Scenario Outputs'!C149-1)*'2010 Baseline Data'!$B$7,4)</f>
        <v>0</v>
      </c>
      <c r="D142" s="331">
        <f>('TPWP Scenario Outputs'!D149-1)*'2010 Baseline Data'!$B$11</f>
        <v>0</v>
      </c>
      <c r="E142" s="261">
        <f>ROUND(('TPWP Scenario Outputs'!E149-1)*'2010 Baseline Data'!$B$11,4)</f>
        <v>0</v>
      </c>
      <c r="F142" s="333">
        <f>('TPWP Scenario Outputs'!F149-1)*'2010 Baseline Data'!$B$13</f>
        <v>0</v>
      </c>
      <c r="G142" s="262">
        <f>ROUND(('TPWP Scenario Outputs'!G149-1)*'2010 Baseline Data'!$B$13,4)</f>
        <v>0</v>
      </c>
      <c r="H142" s="262">
        <f>ROUND('Other Sectors Outputs'!D158/'2010 Baseline Data'!C160,4)</f>
        <v>0</v>
      </c>
      <c r="I142" s="340">
        <f t="shared" si="2"/>
        <v>0</v>
      </c>
      <c r="M142" s="334">
        <v>0</v>
      </c>
    </row>
    <row r="143" spans="1:13" x14ac:dyDescent="0.3">
      <c r="A143" s="330">
        <v>138</v>
      </c>
      <c r="B143" s="331">
        <f>('TPWP Scenario Outputs'!B150-1)*'2010 Baseline Data'!$B$7</f>
        <v>-7.4597025891717237E-17</v>
      </c>
      <c r="C143" s="260">
        <f>ROUND(('TPWP Scenario Outputs'!C150-1)*'2010 Baseline Data'!$B$7,4)</f>
        <v>0</v>
      </c>
      <c r="D143" s="331">
        <f>('TPWP Scenario Outputs'!D150-1)*'2010 Baseline Data'!$B$11</f>
        <v>0</v>
      </c>
      <c r="E143" s="261">
        <f>ROUND(('TPWP Scenario Outputs'!E150-1)*'2010 Baseline Data'!$B$11,4)</f>
        <v>0</v>
      </c>
      <c r="F143" s="333">
        <f>('TPWP Scenario Outputs'!F150-1)*'2010 Baseline Data'!$B$13</f>
        <v>0</v>
      </c>
      <c r="G143" s="262">
        <f>ROUND(('TPWP Scenario Outputs'!G150-1)*'2010 Baseline Data'!$B$13,4)</f>
        <v>0</v>
      </c>
      <c r="H143" s="262">
        <f>ROUND('Other Sectors Outputs'!D159/'2010 Baseline Data'!C161,4)</f>
        <v>0</v>
      </c>
      <c r="I143" s="340">
        <f t="shared" si="2"/>
        <v>0</v>
      </c>
      <c r="M143" s="334">
        <v>0</v>
      </c>
    </row>
    <row r="144" spans="1:13" x14ac:dyDescent="0.3">
      <c r="A144" s="330">
        <v>139</v>
      </c>
      <c r="B144" s="331">
        <f>('TPWP Scenario Outputs'!B151-1)*'2010 Baseline Data'!$B$7</f>
        <v>0</v>
      </c>
      <c r="C144" s="260">
        <f>ROUND(('TPWP Scenario Outputs'!C151-1)*'2010 Baseline Data'!$B$7,4)</f>
        <v>0</v>
      </c>
      <c r="D144" s="331">
        <f>('TPWP Scenario Outputs'!D151-1)*'2010 Baseline Data'!$B$11</f>
        <v>0</v>
      </c>
      <c r="E144" s="261">
        <f>ROUND(('TPWP Scenario Outputs'!E151-1)*'2010 Baseline Data'!$B$11,4)</f>
        <v>0</v>
      </c>
      <c r="F144" s="333">
        <f>('TPWP Scenario Outputs'!F151-1)*'2010 Baseline Data'!$B$13</f>
        <v>0</v>
      </c>
      <c r="G144" s="262">
        <f>ROUND(('TPWP Scenario Outputs'!G151-1)*'2010 Baseline Data'!$B$13,4)</f>
        <v>0</v>
      </c>
      <c r="H144" s="262">
        <f>ROUND('Other Sectors Outputs'!D160/'2010 Baseline Data'!C162,4)</f>
        <v>0</v>
      </c>
      <c r="I144" s="340">
        <f t="shared" si="2"/>
        <v>0</v>
      </c>
      <c r="M144" s="334">
        <v>0</v>
      </c>
    </row>
    <row r="145" spans="1:13" x14ac:dyDescent="0.3">
      <c r="A145" s="330">
        <v>140</v>
      </c>
      <c r="B145" s="331">
        <f>('TPWP Scenario Outputs'!B152-1)*'2010 Baseline Data'!$B$7</f>
        <v>0</v>
      </c>
      <c r="C145" s="260">
        <f>ROUND(('TPWP Scenario Outputs'!C152-1)*'2010 Baseline Data'!$B$7,4)</f>
        <v>0</v>
      </c>
      <c r="D145" s="331">
        <f>('TPWP Scenario Outputs'!D152-1)*'2010 Baseline Data'!$B$11</f>
        <v>0</v>
      </c>
      <c r="E145" s="261">
        <f>ROUND(('TPWP Scenario Outputs'!E152-1)*'2010 Baseline Data'!$B$11,4)</f>
        <v>0</v>
      </c>
      <c r="F145" s="333">
        <f>('TPWP Scenario Outputs'!F152-1)*'2010 Baseline Data'!$B$13</f>
        <v>0</v>
      </c>
      <c r="G145" s="262">
        <f>ROUND(('TPWP Scenario Outputs'!G152-1)*'2010 Baseline Data'!$B$13,4)</f>
        <v>0</v>
      </c>
      <c r="H145" s="262">
        <f>ROUND('Other Sectors Outputs'!D161/'2010 Baseline Data'!C163,4)</f>
        <v>0</v>
      </c>
      <c r="I145" s="340">
        <f t="shared" si="2"/>
        <v>0</v>
      </c>
      <c r="M145" s="334">
        <v>0</v>
      </c>
    </row>
    <row r="146" spans="1:13" x14ac:dyDescent="0.3">
      <c r="A146" s="330">
        <v>141</v>
      </c>
      <c r="B146" s="331">
        <f>('TPWP Scenario Outputs'!B153-1)*'2010 Baseline Data'!$B$7</f>
        <v>-7.4597025891717237E-17</v>
      </c>
      <c r="C146" s="260">
        <f>ROUND(('TPWP Scenario Outputs'!C153-1)*'2010 Baseline Data'!$B$7,4)</f>
        <v>0</v>
      </c>
      <c r="D146" s="331">
        <f>('TPWP Scenario Outputs'!D153-1)*'2010 Baseline Data'!$B$11</f>
        <v>0</v>
      </c>
      <c r="E146" s="261">
        <f>ROUND(('TPWP Scenario Outputs'!E153-1)*'2010 Baseline Data'!$B$11,4)</f>
        <v>0</v>
      </c>
      <c r="F146" s="333">
        <f>('TPWP Scenario Outputs'!F153-1)*'2010 Baseline Data'!$B$13</f>
        <v>0</v>
      </c>
      <c r="G146" s="262">
        <f>ROUND(('TPWP Scenario Outputs'!G153-1)*'2010 Baseline Data'!$B$13,4)</f>
        <v>0</v>
      </c>
      <c r="H146" s="262">
        <f>ROUND('Other Sectors Outputs'!D162/'2010 Baseline Data'!C164,4)</f>
        <v>0</v>
      </c>
      <c r="I146" s="340">
        <f t="shared" si="2"/>
        <v>0</v>
      </c>
      <c r="M146" s="334">
        <v>0</v>
      </c>
    </row>
    <row r="147" spans="1:13" x14ac:dyDescent="0.3">
      <c r="A147" s="330">
        <v>142</v>
      </c>
      <c r="B147" s="331">
        <f>('TPWP Scenario Outputs'!B154-1)*'2010 Baseline Data'!$B$7</f>
        <v>0</v>
      </c>
      <c r="C147" s="260">
        <f>ROUND(('TPWP Scenario Outputs'!C154-1)*'2010 Baseline Data'!$B$7,4)</f>
        <v>0</v>
      </c>
      <c r="D147" s="331">
        <f>('TPWP Scenario Outputs'!D154-1)*'2010 Baseline Data'!$B$11</f>
        <v>0</v>
      </c>
      <c r="E147" s="261">
        <f>ROUND(('TPWP Scenario Outputs'!E154-1)*'2010 Baseline Data'!$B$11,4)</f>
        <v>0</v>
      </c>
      <c r="F147" s="333">
        <f>('TPWP Scenario Outputs'!F154-1)*'2010 Baseline Data'!$B$13</f>
        <v>0</v>
      </c>
      <c r="G147" s="262">
        <f>ROUND(('TPWP Scenario Outputs'!G154-1)*'2010 Baseline Data'!$B$13,4)</f>
        <v>0</v>
      </c>
      <c r="H147" s="262">
        <f>ROUND('Other Sectors Outputs'!D163/'2010 Baseline Data'!C165,4)</f>
        <v>0</v>
      </c>
      <c r="I147" s="340">
        <f t="shared" si="2"/>
        <v>0</v>
      </c>
      <c r="M147" s="334">
        <v>0</v>
      </c>
    </row>
    <row r="148" spans="1:13" x14ac:dyDescent="0.3">
      <c r="A148" s="330">
        <v>143</v>
      </c>
      <c r="B148" s="331">
        <f>('TPWP Scenario Outputs'!B155-1)*'2010 Baseline Data'!$B$7</f>
        <v>0</v>
      </c>
      <c r="C148" s="260">
        <f>ROUND(('TPWP Scenario Outputs'!C155-1)*'2010 Baseline Data'!$B$7,4)</f>
        <v>0</v>
      </c>
      <c r="D148" s="331">
        <f>('TPWP Scenario Outputs'!D155-1)*'2010 Baseline Data'!$B$11</f>
        <v>0</v>
      </c>
      <c r="E148" s="261">
        <f>ROUND(('TPWP Scenario Outputs'!E155-1)*'2010 Baseline Data'!$B$11,4)</f>
        <v>0</v>
      </c>
      <c r="F148" s="333">
        <f>('TPWP Scenario Outputs'!F155-1)*'2010 Baseline Data'!$B$13</f>
        <v>0</v>
      </c>
      <c r="G148" s="262">
        <f>ROUND(('TPWP Scenario Outputs'!G155-1)*'2010 Baseline Data'!$B$13,4)</f>
        <v>0</v>
      </c>
      <c r="H148" s="262">
        <f>ROUND('Other Sectors Outputs'!D164/'2010 Baseline Data'!C166,4)</f>
        <v>0</v>
      </c>
      <c r="I148" s="340">
        <f t="shared" si="2"/>
        <v>0</v>
      </c>
      <c r="M148" s="334">
        <v>0</v>
      </c>
    </row>
    <row r="149" spans="1:13" x14ac:dyDescent="0.3">
      <c r="A149" s="330">
        <v>144</v>
      </c>
      <c r="B149" s="331">
        <f>('TPWP Scenario Outputs'!B156-1)*'2010 Baseline Data'!$B$7</f>
        <v>-7.4597025891717237E-17</v>
      </c>
      <c r="C149" s="260">
        <f>ROUND(('TPWP Scenario Outputs'!C156-1)*'2010 Baseline Data'!$B$7,4)</f>
        <v>0</v>
      </c>
      <c r="D149" s="331">
        <f>('TPWP Scenario Outputs'!D156-1)*'2010 Baseline Data'!$B$11</f>
        <v>0</v>
      </c>
      <c r="E149" s="261">
        <f>ROUND(('TPWP Scenario Outputs'!E156-1)*'2010 Baseline Data'!$B$11,4)</f>
        <v>0</v>
      </c>
      <c r="F149" s="333">
        <f>('TPWP Scenario Outputs'!F156-1)*'2010 Baseline Data'!$B$13</f>
        <v>0</v>
      </c>
      <c r="G149" s="262">
        <f>ROUND(('TPWP Scenario Outputs'!G156-1)*'2010 Baseline Data'!$B$13,4)</f>
        <v>0</v>
      </c>
      <c r="H149" s="262">
        <f>ROUND('Other Sectors Outputs'!D165/'2010 Baseline Data'!C167,4)</f>
        <v>0</v>
      </c>
      <c r="I149" s="340">
        <f t="shared" si="2"/>
        <v>0</v>
      </c>
      <c r="M149" s="334">
        <v>0</v>
      </c>
    </row>
    <row r="150" spans="1:13" x14ac:dyDescent="0.3">
      <c r="A150" s="330">
        <v>145</v>
      </c>
      <c r="B150" s="331">
        <f>('TPWP Scenario Outputs'!B157-1)*'2010 Baseline Data'!$B$7</f>
        <v>0</v>
      </c>
      <c r="C150" s="260">
        <f>ROUND(('TPWP Scenario Outputs'!C157-1)*'2010 Baseline Data'!$B$7,4)</f>
        <v>0</v>
      </c>
      <c r="D150" s="331">
        <f>('TPWP Scenario Outputs'!D157-1)*'2010 Baseline Data'!$B$11</f>
        <v>0</v>
      </c>
      <c r="E150" s="261">
        <f>ROUND(('TPWP Scenario Outputs'!E157-1)*'2010 Baseline Data'!$B$11,4)</f>
        <v>0</v>
      </c>
      <c r="F150" s="333">
        <f>('TPWP Scenario Outputs'!F157-1)*'2010 Baseline Data'!$B$13</f>
        <v>0</v>
      </c>
      <c r="G150" s="262">
        <f>ROUND(('TPWP Scenario Outputs'!G157-1)*'2010 Baseline Data'!$B$13,4)</f>
        <v>0</v>
      </c>
      <c r="H150" s="262">
        <f>ROUND('Other Sectors Outputs'!D166/'2010 Baseline Data'!C168,4)</f>
        <v>0</v>
      </c>
      <c r="I150" s="340">
        <f t="shared" si="2"/>
        <v>0</v>
      </c>
      <c r="M150" s="334">
        <v>0</v>
      </c>
    </row>
    <row r="151" spans="1:13" x14ac:dyDescent="0.3">
      <c r="A151" s="330">
        <v>146</v>
      </c>
      <c r="B151" s="331">
        <f>('TPWP Scenario Outputs'!B158-1)*'2010 Baseline Data'!$B$7</f>
        <v>-7.4597025891717237E-17</v>
      </c>
      <c r="C151" s="260">
        <f>ROUND(('TPWP Scenario Outputs'!C158-1)*'2010 Baseline Data'!$B$7,4)</f>
        <v>0</v>
      </c>
      <c r="D151" s="331">
        <f>('TPWP Scenario Outputs'!D158-1)*'2010 Baseline Data'!$B$11</f>
        <v>0</v>
      </c>
      <c r="E151" s="261">
        <f>ROUND(('TPWP Scenario Outputs'!E158-1)*'2010 Baseline Data'!$B$11,4)</f>
        <v>0</v>
      </c>
      <c r="F151" s="333">
        <f>('TPWP Scenario Outputs'!F158-1)*'2010 Baseline Data'!$B$13</f>
        <v>0</v>
      </c>
      <c r="G151" s="262">
        <f>ROUND(('TPWP Scenario Outputs'!G158-1)*'2010 Baseline Data'!$B$13,4)</f>
        <v>0</v>
      </c>
      <c r="H151" s="262">
        <f>ROUND('Other Sectors Outputs'!D167/'2010 Baseline Data'!C169,4)</f>
        <v>0</v>
      </c>
      <c r="I151" s="340">
        <f t="shared" si="2"/>
        <v>0</v>
      </c>
      <c r="M151" s="334">
        <v>0</v>
      </c>
    </row>
    <row r="152" spans="1:13" x14ac:dyDescent="0.3">
      <c r="A152" s="330">
        <v>147</v>
      </c>
      <c r="B152" s="331">
        <f>('TPWP Scenario Outputs'!B159-1)*'2010 Baseline Data'!$B$7</f>
        <v>0</v>
      </c>
      <c r="C152" s="260">
        <f>ROUND(('TPWP Scenario Outputs'!C159-1)*'2010 Baseline Data'!$B$7,4)</f>
        <v>0</v>
      </c>
      <c r="D152" s="331">
        <f>('TPWP Scenario Outputs'!D159-1)*'2010 Baseline Data'!$B$11</f>
        <v>0</v>
      </c>
      <c r="E152" s="261">
        <f>ROUND(('TPWP Scenario Outputs'!E159-1)*'2010 Baseline Data'!$B$11,4)</f>
        <v>0</v>
      </c>
      <c r="F152" s="333">
        <f>('TPWP Scenario Outputs'!F159-1)*'2010 Baseline Data'!$B$13</f>
        <v>0</v>
      </c>
      <c r="G152" s="262">
        <f>ROUND(('TPWP Scenario Outputs'!G159-1)*'2010 Baseline Data'!$B$13,4)</f>
        <v>0</v>
      </c>
      <c r="H152" s="262">
        <f>ROUND('Other Sectors Outputs'!D168/'2010 Baseline Data'!C170,4)</f>
        <v>0</v>
      </c>
      <c r="I152" s="340">
        <f t="shared" si="2"/>
        <v>0</v>
      </c>
      <c r="M152" s="334">
        <v>0</v>
      </c>
    </row>
    <row r="153" spans="1:13" x14ac:dyDescent="0.3">
      <c r="A153" s="330">
        <v>148</v>
      </c>
      <c r="B153" s="331">
        <f>('TPWP Scenario Outputs'!B160-1)*'2010 Baseline Data'!$B$7</f>
        <v>-7.4597025891717237E-17</v>
      </c>
      <c r="C153" s="260">
        <f>ROUND(('TPWP Scenario Outputs'!C160-1)*'2010 Baseline Data'!$B$7,4)</f>
        <v>0</v>
      </c>
      <c r="D153" s="331">
        <f>('TPWP Scenario Outputs'!D160-1)*'2010 Baseline Data'!$B$11</f>
        <v>0</v>
      </c>
      <c r="E153" s="261">
        <f>ROUND(('TPWP Scenario Outputs'!E160-1)*'2010 Baseline Data'!$B$11,4)</f>
        <v>0</v>
      </c>
      <c r="F153" s="333">
        <f>('TPWP Scenario Outputs'!F160-1)*'2010 Baseline Data'!$B$13</f>
        <v>0</v>
      </c>
      <c r="G153" s="262">
        <f>ROUND(('TPWP Scenario Outputs'!G160-1)*'2010 Baseline Data'!$B$13,4)</f>
        <v>0</v>
      </c>
      <c r="H153" s="262">
        <f>ROUND('Other Sectors Outputs'!D169/'2010 Baseline Data'!C171,4)</f>
        <v>0</v>
      </c>
      <c r="I153" s="340">
        <f t="shared" si="2"/>
        <v>0</v>
      </c>
      <c r="M153" s="334">
        <v>0</v>
      </c>
    </row>
    <row r="154" spans="1:13" x14ac:dyDescent="0.3">
      <c r="A154" s="330">
        <v>149</v>
      </c>
      <c r="B154" s="331">
        <f>('TPWP Scenario Outputs'!B161-1)*'2010 Baseline Data'!$B$7</f>
        <v>0</v>
      </c>
      <c r="C154" s="260">
        <f>ROUND(('TPWP Scenario Outputs'!C161-1)*'2010 Baseline Data'!$B$7,4)</f>
        <v>0</v>
      </c>
      <c r="D154" s="331">
        <f>('TPWP Scenario Outputs'!D161-1)*'2010 Baseline Data'!$B$11</f>
        <v>0</v>
      </c>
      <c r="E154" s="261">
        <f>ROUND(('TPWP Scenario Outputs'!E161-1)*'2010 Baseline Data'!$B$11,4)</f>
        <v>0</v>
      </c>
      <c r="F154" s="333">
        <f>('TPWP Scenario Outputs'!F161-1)*'2010 Baseline Data'!$B$13</f>
        <v>0</v>
      </c>
      <c r="G154" s="262">
        <f>ROUND(('TPWP Scenario Outputs'!G161-1)*'2010 Baseline Data'!$B$13,4)</f>
        <v>0</v>
      </c>
      <c r="H154" s="262">
        <f>ROUND('Other Sectors Outputs'!D170/'2010 Baseline Data'!C172,4)</f>
        <v>0</v>
      </c>
      <c r="I154" s="340">
        <f t="shared" si="2"/>
        <v>0</v>
      </c>
      <c r="M154" s="334">
        <v>0</v>
      </c>
    </row>
    <row r="155" spans="1:13" ht="14.4" thickBot="1" x14ac:dyDescent="0.35">
      <c r="A155" s="335">
        <v>150</v>
      </c>
      <c r="B155" s="336">
        <f>('TPWP Scenario Outputs'!B162-1)*'2010 Baseline Data'!$B$7</f>
        <v>0</v>
      </c>
      <c r="C155" s="263">
        <f>ROUND(('TPWP Scenario Outputs'!C162-1)*'2010 Baseline Data'!$B$7,4)</f>
        <v>0</v>
      </c>
      <c r="D155" s="336">
        <f>('TPWP Scenario Outputs'!D162-1)*'2010 Baseline Data'!$B$11</f>
        <v>0</v>
      </c>
      <c r="E155" s="264">
        <f>ROUND(('TPWP Scenario Outputs'!E162-1)*'2010 Baseline Data'!$B$11,4)</f>
        <v>0</v>
      </c>
      <c r="F155" s="337">
        <f>('TPWP Scenario Outputs'!F162-1)*'2010 Baseline Data'!$B$13</f>
        <v>0</v>
      </c>
      <c r="G155" s="265">
        <f>ROUND(('TPWP Scenario Outputs'!G162-1)*'2010 Baseline Data'!$B$13,4)</f>
        <v>0</v>
      </c>
      <c r="H155" s="265">
        <f>ROUND('Other Sectors Outputs'!D171/'2010 Baseline Data'!C173,4)</f>
        <v>0</v>
      </c>
      <c r="I155" s="341">
        <f t="shared" si="2"/>
        <v>0</v>
      </c>
      <c r="M155" s="334">
        <v>0</v>
      </c>
    </row>
    <row r="156" spans="1:13" s="339" customFormat="1" x14ac:dyDescent="0.3">
      <c r="A156" s="338"/>
      <c r="B156" s="332"/>
      <c r="C156" s="332"/>
      <c r="D156" s="332"/>
      <c r="E156" s="332"/>
      <c r="F156" s="332"/>
      <c r="G156" s="332"/>
      <c r="H156" s="332"/>
      <c r="I156" s="332"/>
    </row>
    <row r="157" spans="1:13" s="339" customFormat="1" x14ac:dyDescent="0.3">
      <c r="A157" s="338"/>
      <c r="B157" s="332"/>
      <c r="C157" s="332"/>
      <c r="D157" s="332"/>
      <c r="E157" s="332"/>
      <c r="F157" s="332"/>
      <c r="G157" s="332"/>
      <c r="H157" s="332"/>
      <c r="I157" s="332"/>
    </row>
    <row r="158" spans="1:13" s="339" customFormat="1" x14ac:dyDescent="0.3">
      <c r="A158" s="338"/>
      <c r="B158" s="332"/>
      <c r="C158" s="332"/>
      <c r="D158" s="332"/>
      <c r="E158" s="332"/>
      <c r="F158" s="332"/>
      <c r="G158" s="332"/>
      <c r="H158" s="332"/>
      <c r="I158" s="332"/>
    </row>
    <row r="159" spans="1:13" s="339" customFormat="1" x14ac:dyDescent="0.3">
      <c r="A159" s="338"/>
      <c r="B159" s="332"/>
      <c r="C159" s="332"/>
      <c r="D159" s="332"/>
      <c r="E159" s="332"/>
      <c r="F159" s="332"/>
      <c r="G159" s="332"/>
      <c r="H159" s="332"/>
      <c r="I159" s="332"/>
    </row>
    <row r="160" spans="1:13" s="339" customFormat="1" x14ac:dyDescent="0.3">
      <c r="A160" s="338"/>
      <c r="B160" s="332"/>
      <c r="C160" s="332"/>
      <c r="D160" s="332"/>
      <c r="E160" s="332"/>
      <c r="F160" s="332"/>
      <c r="G160" s="332"/>
      <c r="H160" s="332"/>
      <c r="I160" s="332"/>
    </row>
    <row r="161" spans="1:9" s="339" customFormat="1" x14ac:dyDescent="0.3">
      <c r="A161" s="338"/>
      <c r="B161" s="332"/>
      <c r="C161" s="332"/>
      <c r="D161" s="332"/>
      <c r="E161" s="332"/>
      <c r="F161" s="332"/>
      <c r="G161" s="332"/>
      <c r="H161" s="332"/>
      <c r="I161" s="332"/>
    </row>
    <row r="162" spans="1:9" s="339" customFormat="1" x14ac:dyDescent="0.3">
      <c r="A162" s="338"/>
      <c r="B162" s="332"/>
      <c r="C162" s="332"/>
      <c r="D162" s="332"/>
      <c r="E162" s="332"/>
      <c r="F162" s="332"/>
      <c r="G162" s="332"/>
      <c r="H162" s="332"/>
      <c r="I162" s="332"/>
    </row>
    <row r="163" spans="1:9" s="339" customFormat="1" x14ac:dyDescent="0.3">
      <c r="A163" s="338"/>
      <c r="B163" s="332"/>
      <c r="C163" s="332"/>
      <c r="D163" s="332"/>
      <c r="E163" s="332"/>
      <c r="F163" s="332"/>
      <c r="G163" s="332"/>
      <c r="H163" s="332"/>
      <c r="I163" s="332"/>
    </row>
    <row r="164" spans="1:9" s="339" customFormat="1" x14ac:dyDescent="0.3">
      <c r="A164" s="338"/>
      <c r="B164" s="332"/>
      <c r="C164" s="332"/>
      <c r="D164" s="332"/>
      <c r="E164" s="332"/>
      <c r="F164" s="332"/>
      <c r="G164" s="332"/>
      <c r="H164" s="332"/>
      <c r="I164" s="332"/>
    </row>
    <row r="165" spans="1:9" s="339" customFormat="1" x14ac:dyDescent="0.3">
      <c r="A165" s="338"/>
      <c r="B165" s="332"/>
      <c r="C165" s="332"/>
      <c r="D165" s="332"/>
      <c r="E165" s="332"/>
      <c r="F165" s="332"/>
      <c r="G165" s="332"/>
      <c r="H165" s="332"/>
      <c r="I165" s="332"/>
    </row>
    <row r="166" spans="1:9" s="339" customFormat="1" x14ac:dyDescent="0.3">
      <c r="A166" s="338"/>
      <c r="B166" s="332"/>
      <c r="C166" s="332"/>
      <c r="D166" s="332"/>
      <c r="E166" s="332"/>
      <c r="F166" s="332"/>
      <c r="G166" s="332"/>
      <c r="H166" s="332"/>
      <c r="I166" s="332"/>
    </row>
    <row r="167" spans="1:9" s="339" customFormat="1" x14ac:dyDescent="0.3">
      <c r="A167" s="338"/>
      <c r="B167" s="332"/>
      <c r="C167" s="332"/>
      <c r="D167" s="332"/>
      <c r="E167" s="332"/>
      <c r="F167" s="332"/>
      <c r="G167" s="332"/>
      <c r="H167" s="332"/>
      <c r="I167" s="332"/>
    </row>
    <row r="168" spans="1:9" s="339" customFormat="1" x14ac:dyDescent="0.3">
      <c r="A168" s="338"/>
      <c r="B168" s="332"/>
      <c r="C168" s="332"/>
      <c r="D168" s="332"/>
      <c r="E168" s="332"/>
      <c r="F168" s="332"/>
      <c r="G168" s="332"/>
      <c r="H168" s="332"/>
      <c r="I168" s="332"/>
    </row>
    <row r="169" spans="1:9" s="339" customFormat="1" x14ac:dyDescent="0.3">
      <c r="A169" s="338"/>
      <c r="B169" s="332"/>
      <c r="C169" s="332"/>
      <c r="D169" s="332"/>
      <c r="E169" s="332"/>
      <c r="F169" s="332"/>
      <c r="G169" s="332"/>
      <c r="H169" s="332"/>
      <c r="I169" s="332"/>
    </row>
    <row r="170" spans="1:9" s="339" customFormat="1" x14ac:dyDescent="0.3">
      <c r="A170" s="338"/>
      <c r="B170" s="332"/>
      <c r="C170" s="332"/>
      <c r="D170" s="332"/>
      <c r="E170" s="332"/>
      <c r="F170" s="332"/>
      <c r="G170" s="332"/>
      <c r="H170" s="332"/>
      <c r="I170" s="332"/>
    </row>
    <row r="171" spans="1:9" s="339" customFormat="1" x14ac:dyDescent="0.3">
      <c r="A171" s="338"/>
      <c r="B171" s="332"/>
      <c r="C171" s="332"/>
      <c r="D171" s="332"/>
      <c r="E171" s="332"/>
      <c r="F171" s="332"/>
      <c r="G171" s="332"/>
      <c r="H171" s="332"/>
      <c r="I171" s="332"/>
    </row>
    <row r="172" spans="1:9" s="339" customFormat="1" x14ac:dyDescent="0.3">
      <c r="A172" s="338"/>
      <c r="B172" s="332"/>
      <c r="C172" s="332"/>
      <c r="D172" s="332"/>
      <c r="E172" s="332"/>
      <c r="F172" s="332"/>
      <c r="G172" s="332"/>
      <c r="H172" s="332"/>
      <c r="I172" s="332"/>
    </row>
    <row r="173" spans="1:9" s="339" customFormat="1" x14ac:dyDescent="0.3">
      <c r="A173" s="338"/>
      <c r="B173" s="332"/>
      <c r="C173" s="332"/>
      <c r="D173" s="332"/>
      <c r="E173" s="332"/>
      <c r="F173" s="332"/>
      <c r="G173" s="332"/>
      <c r="H173" s="332"/>
      <c r="I173" s="332"/>
    </row>
    <row r="174" spans="1:9" s="339" customFormat="1" x14ac:dyDescent="0.3">
      <c r="A174" s="338"/>
      <c r="B174" s="332"/>
      <c r="C174" s="332"/>
      <c r="D174" s="332"/>
      <c r="E174" s="332"/>
      <c r="F174" s="332"/>
      <c r="G174" s="332"/>
      <c r="H174" s="332"/>
      <c r="I174" s="332"/>
    </row>
    <row r="175" spans="1:9" s="339" customFormat="1" x14ac:dyDescent="0.3">
      <c r="A175" s="338"/>
      <c r="B175" s="332"/>
      <c r="C175" s="332"/>
      <c r="D175" s="332"/>
      <c r="E175" s="332"/>
      <c r="F175" s="332"/>
      <c r="G175" s="332"/>
      <c r="H175" s="332"/>
      <c r="I175" s="332"/>
    </row>
    <row r="176" spans="1:9" s="339" customFormat="1" x14ac:dyDescent="0.3">
      <c r="A176" s="338"/>
      <c r="B176" s="332"/>
      <c r="C176" s="332"/>
      <c r="D176" s="332"/>
      <c r="E176" s="332"/>
      <c r="F176" s="332"/>
      <c r="G176" s="332"/>
      <c r="H176" s="332"/>
      <c r="I176" s="332"/>
    </row>
    <row r="177" spans="1:9" s="339" customFormat="1" x14ac:dyDescent="0.3">
      <c r="A177" s="338"/>
      <c r="B177" s="332"/>
      <c r="C177" s="332"/>
      <c r="D177" s="332"/>
      <c r="E177" s="332"/>
      <c r="F177" s="332"/>
      <c r="G177" s="332"/>
      <c r="H177" s="332"/>
      <c r="I177" s="332"/>
    </row>
    <row r="178" spans="1:9" s="339" customFormat="1" x14ac:dyDescent="0.3">
      <c r="A178" s="338"/>
      <c r="B178" s="332"/>
      <c r="C178" s="332"/>
      <c r="D178" s="332"/>
      <c r="E178" s="332"/>
      <c r="F178" s="332"/>
      <c r="G178" s="332"/>
      <c r="H178" s="332"/>
      <c r="I178" s="332"/>
    </row>
    <row r="179" spans="1:9" s="339" customFormat="1" x14ac:dyDescent="0.3">
      <c r="A179" s="338"/>
      <c r="B179" s="332"/>
      <c r="C179" s="332"/>
      <c r="D179" s="332"/>
      <c r="E179" s="332"/>
      <c r="F179" s="332"/>
      <c r="G179" s="332"/>
      <c r="H179" s="332"/>
      <c r="I179" s="332"/>
    </row>
    <row r="180" spans="1:9" s="339" customFormat="1" x14ac:dyDescent="0.3">
      <c r="A180" s="338"/>
      <c r="B180" s="332"/>
      <c r="C180" s="332"/>
      <c r="D180" s="332"/>
      <c r="E180" s="332"/>
      <c r="F180" s="332"/>
      <c r="G180" s="332"/>
      <c r="H180" s="332"/>
      <c r="I180" s="332"/>
    </row>
    <row r="181" spans="1:9" s="339" customFormat="1" x14ac:dyDescent="0.3">
      <c r="A181" s="338"/>
      <c r="B181" s="332"/>
      <c r="C181" s="332"/>
      <c r="D181" s="332"/>
      <c r="E181" s="332"/>
      <c r="F181" s="332"/>
      <c r="G181" s="332"/>
      <c r="H181" s="332"/>
      <c r="I181" s="332"/>
    </row>
    <row r="182" spans="1:9" s="339" customFormat="1" x14ac:dyDescent="0.3">
      <c r="A182" s="338"/>
      <c r="B182" s="332"/>
      <c r="C182" s="332"/>
      <c r="D182" s="332"/>
      <c r="E182" s="332"/>
      <c r="F182" s="332"/>
      <c r="G182" s="332"/>
      <c r="H182" s="332"/>
      <c r="I182" s="332"/>
    </row>
    <row r="183" spans="1:9" s="339" customFormat="1" x14ac:dyDescent="0.3">
      <c r="A183" s="338"/>
      <c r="B183" s="332"/>
      <c r="C183" s="332"/>
      <c r="D183" s="332"/>
      <c r="E183" s="332"/>
      <c r="F183" s="332"/>
      <c r="G183" s="332"/>
      <c r="H183" s="332"/>
      <c r="I183" s="332"/>
    </row>
    <row r="184" spans="1:9" s="339" customFormat="1" x14ac:dyDescent="0.3">
      <c r="A184" s="338"/>
      <c r="B184" s="332"/>
      <c r="C184" s="332"/>
      <c r="D184" s="332"/>
      <c r="E184" s="332"/>
      <c r="F184" s="332"/>
      <c r="G184" s="332"/>
      <c r="H184" s="332"/>
      <c r="I184" s="332"/>
    </row>
    <row r="185" spans="1:9" s="339" customFormat="1" x14ac:dyDescent="0.3">
      <c r="A185" s="338"/>
      <c r="B185" s="332"/>
      <c r="C185" s="332"/>
      <c r="D185" s="332"/>
      <c r="E185" s="332"/>
      <c r="F185" s="332"/>
      <c r="G185" s="332"/>
      <c r="H185" s="332"/>
      <c r="I185" s="332"/>
    </row>
    <row r="186" spans="1:9" s="339" customFormat="1" x14ac:dyDescent="0.3">
      <c r="A186" s="338"/>
      <c r="B186" s="332"/>
      <c r="C186" s="332"/>
      <c r="D186" s="332"/>
      <c r="E186" s="332"/>
      <c r="F186" s="332"/>
      <c r="G186" s="332"/>
      <c r="H186" s="332"/>
      <c r="I186" s="332"/>
    </row>
    <row r="187" spans="1:9" s="339" customFormat="1" x14ac:dyDescent="0.3">
      <c r="A187" s="338"/>
      <c r="B187" s="332"/>
      <c r="C187" s="332"/>
      <c r="D187" s="332"/>
      <c r="E187" s="332"/>
      <c r="F187" s="332"/>
      <c r="G187" s="332"/>
      <c r="H187" s="332"/>
      <c r="I187" s="332"/>
    </row>
    <row r="188" spans="1:9" s="339" customFormat="1" x14ac:dyDescent="0.3">
      <c r="A188" s="338"/>
      <c r="B188" s="332"/>
      <c r="C188" s="332"/>
      <c r="D188" s="332"/>
      <c r="E188" s="332"/>
      <c r="F188" s="332"/>
      <c r="G188" s="332"/>
      <c r="H188" s="332"/>
      <c r="I188" s="332"/>
    </row>
    <row r="189" spans="1:9" s="339" customFormat="1" x14ac:dyDescent="0.3">
      <c r="A189" s="338"/>
      <c r="B189" s="332"/>
      <c r="C189" s="332"/>
      <c r="D189" s="332"/>
      <c r="E189" s="332"/>
      <c r="F189" s="332"/>
      <c r="G189" s="332"/>
      <c r="H189" s="332"/>
      <c r="I189" s="332"/>
    </row>
    <row r="190" spans="1:9" s="339" customFormat="1" x14ac:dyDescent="0.3">
      <c r="A190" s="338"/>
      <c r="B190" s="332"/>
      <c r="C190" s="332"/>
      <c r="D190" s="332"/>
      <c r="E190" s="332"/>
      <c r="F190" s="332"/>
      <c r="G190" s="332"/>
      <c r="H190" s="332"/>
      <c r="I190" s="332"/>
    </row>
    <row r="191" spans="1:9" s="339" customFormat="1" x14ac:dyDescent="0.3">
      <c r="A191" s="338"/>
      <c r="B191" s="332"/>
      <c r="C191" s="332"/>
      <c r="D191" s="332"/>
      <c r="E191" s="332"/>
      <c r="F191" s="332"/>
      <c r="G191" s="332"/>
      <c r="H191" s="332"/>
      <c r="I191" s="332"/>
    </row>
    <row r="192" spans="1:9" s="339" customFormat="1" x14ac:dyDescent="0.3">
      <c r="A192" s="338"/>
      <c r="B192" s="332"/>
      <c r="C192" s="332"/>
      <c r="D192" s="332"/>
      <c r="E192" s="332"/>
      <c r="F192" s="332"/>
      <c r="G192" s="332"/>
      <c r="H192" s="332"/>
      <c r="I192" s="332"/>
    </row>
    <row r="193" spans="1:9" s="339" customFormat="1" x14ac:dyDescent="0.3">
      <c r="A193" s="338"/>
      <c r="B193" s="332"/>
      <c r="C193" s="332"/>
      <c r="D193" s="332"/>
      <c r="E193" s="332"/>
      <c r="F193" s="332"/>
      <c r="G193" s="332"/>
      <c r="H193" s="332"/>
      <c r="I193" s="332"/>
    </row>
    <row r="194" spans="1:9" s="339" customFormat="1" x14ac:dyDescent="0.3">
      <c r="A194" s="338"/>
      <c r="B194" s="332"/>
      <c r="C194" s="332"/>
      <c r="D194" s="332"/>
      <c r="E194" s="332"/>
      <c r="F194" s="332"/>
      <c r="G194" s="332"/>
      <c r="H194" s="332"/>
      <c r="I194" s="332"/>
    </row>
    <row r="195" spans="1:9" s="339" customFormat="1" x14ac:dyDescent="0.3">
      <c r="A195" s="338"/>
      <c r="B195" s="332"/>
      <c r="C195" s="332"/>
      <c r="D195" s="332"/>
      <c r="E195" s="332"/>
      <c r="F195" s="332"/>
      <c r="G195" s="332"/>
      <c r="H195" s="332"/>
      <c r="I195" s="332"/>
    </row>
    <row r="196" spans="1:9" s="339" customFormat="1" x14ac:dyDescent="0.3">
      <c r="A196" s="338"/>
      <c r="B196" s="332"/>
      <c r="C196" s="332"/>
      <c r="D196" s="332"/>
      <c r="E196" s="332"/>
      <c r="F196" s="332"/>
      <c r="G196" s="332"/>
      <c r="H196" s="332"/>
      <c r="I196" s="332"/>
    </row>
    <row r="197" spans="1:9" s="339" customFormat="1" x14ac:dyDescent="0.3">
      <c r="A197" s="338"/>
      <c r="B197" s="332"/>
      <c r="C197" s="332"/>
      <c r="D197" s="332"/>
      <c r="E197" s="332"/>
      <c r="F197" s="332"/>
      <c r="G197" s="332"/>
      <c r="H197" s="332"/>
      <c r="I197" s="332"/>
    </row>
    <row r="198" spans="1:9" s="339" customFormat="1" x14ac:dyDescent="0.3">
      <c r="A198" s="338"/>
      <c r="B198" s="332"/>
      <c r="C198" s="332"/>
      <c r="D198" s="332"/>
      <c r="E198" s="332"/>
      <c r="F198" s="332"/>
      <c r="G198" s="332"/>
      <c r="H198" s="332"/>
      <c r="I198" s="332"/>
    </row>
    <row r="199" spans="1:9" s="339" customFormat="1" x14ac:dyDescent="0.3">
      <c r="A199" s="338"/>
      <c r="B199" s="332"/>
      <c r="C199" s="332"/>
      <c r="D199" s="332"/>
      <c r="E199" s="332"/>
      <c r="F199" s="332"/>
      <c r="G199" s="332"/>
      <c r="H199" s="332"/>
      <c r="I199" s="332"/>
    </row>
    <row r="200" spans="1:9" s="339" customFormat="1" x14ac:dyDescent="0.3">
      <c r="A200" s="338"/>
      <c r="B200" s="332"/>
      <c r="C200" s="332"/>
      <c r="D200" s="332"/>
      <c r="E200" s="332"/>
      <c r="F200" s="332"/>
      <c r="G200" s="332"/>
      <c r="H200" s="332"/>
      <c r="I200" s="332"/>
    </row>
    <row r="201" spans="1:9" s="339" customFormat="1" x14ac:dyDescent="0.3">
      <c r="A201" s="338"/>
      <c r="B201" s="332"/>
      <c r="C201" s="332"/>
      <c r="D201" s="332"/>
      <c r="E201" s="332"/>
      <c r="F201" s="332"/>
      <c r="G201" s="332"/>
      <c r="H201" s="332"/>
      <c r="I201" s="332"/>
    </row>
    <row r="202" spans="1:9" s="339" customFormat="1" x14ac:dyDescent="0.3">
      <c r="A202" s="338"/>
      <c r="B202" s="332"/>
      <c r="C202" s="332"/>
      <c r="D202" s="332"/>
      <c r="E202" s="332"/>
      <c r="F202" s="332"/>
      <c r="G202" s="332"/>
      <c r="H202" s="332"/>
      <c r="I202" s="332"/>
    </row>
    <row r="203" spans="1:9" s="339" customFormat="1" x14ac:dyDescent="0.3">
      <c r="A203" s="338"/>
      <c r="B203" s="332"/>
      <c r="C203" s="332"/>
      <c r="D203" s="332"/>
      <c r="E203" s="332"/>
      <c r="F203" s="332"/>
      <c r="G203" s="332"/>
      <c r="H203" s="332"/>
      <c r="I203" s="332"/>
    </row>
    <row r="204" spans="1:9" s="339" customFormat="1" x14ac:dyDescent="0.3">
      <c r="A204" s="338"/>
      <c r="B204" s="332"/>
      <c r="C204" s="332"/>
      <c r="D204" s="332"/>
      <c r="E204" s="332"/>
      <c r="F204" s="332"/>
      <c r="G204" s="332"/>
      <c r="H204" s="332"/>
      <c r="I204" s="332"/>
    </row>
    <row r="205" spans="1:9" s="339" customFormat="1" x14ac:dyDescent="0.3">
      <c r="A205" s="338"/>
      <c r="B205" s="332"/>
      <c r="C205" s="332"/>
      <c r="D205" s="332"/>
      <c r="E205" s="332"/>
      <c r="F205" s="332"/>
      <c r="G205" s="332"/>
      <c r="H205" s="332"/>
      <c r="I205" s="332"/>
    </row>
    <row r="206" spans="1:9" s="339" customFormat="1" x14ac:dyDescent="0.3"/>
    <row r="207" spans="1:9" s="339" customFormat="1" x14ac:dyDescent="0.3"/>
    <row r="208" spans="1:9" s="339" customFormat="1" x14ac:dyDescent="0.3"/>
    <row r="209" s="339" customFormat="1" x14ac:dyDescent="0.3"/>
  </sheetData>
  <sheetProtection password="B467" sheet="1" objects="1" scenarios="1"/>
  <mergeCells count="5">
    <mergeCell ref="A4:A5"/>
    <mergeCell ref="B4:C4"/>
    <mergeCell ref="D4:G4"/>
    <mergeCell ref="H4:H5"/>
    <mergeCell ref="I4:I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B050"/>
  </sheetPr>
  <dimension ref="A1:BF239"/>
  <sheetViews>
    <sheetView workbookViewId="0">
      <selection activeCell="F22" sqref="F22"/>
    </sheetView>
  </sheetViews>
  <sheetFormatPr defaultColWidth="9" defaultRowHeight="13.8" x14ac:dyDescent="0.3"/>
  <cols>
    <col min="1" max="1" width="11.26953125" style="357" customWidth="1"/>
    <col min="2" max="5" width="14.7265625" style="357" customWidth="1"/>
    <col min="6" max="6" width="14.7265625" style="297" customWidth="1"/>
    <col min="7" max="7" width="13.26953125" style="297" customWidth="1"/>
    <col min="8" max="8" width="9" style="297"/>
    <col min="9" max="14" width="15.26953125" style="357" customWidth="1"/>
    <col min="15" max="15" width="11.26953125" style="297" customWidth="1"/>
    <col min="16" max="16" width="11.26953125" style="357" customWidth="1"/>
    <col min="17" max="28" width="11.26953125" style="297" customWidth="1"/>
    <col min="29" max="29" width="9" style="297"/>
    <col min="30" max="33" width="15.26953125" style="357" customWidth="1"/>
    <col min="34" max="34" width="11.26953125" style="297" customWidth="1"/>
    <col min="35" max="35" width="11.26953125" style="357" customWidth="1"/>
    <col min="36" max="43" width="11.26953125" style="297" customWidth="1"/>
    <col min="44" max="44" width="9" style="297"/>
    <col min="45" max="48" width="15.26953125" style="297" customWidth="1"/>
    <col min="49" max="49" width="9" style="297"/>
    <col min="50" max="58" width="12.6328125" style="297" customWidth="1"/>
    <col min="59" max="16384" width="9" style="297"/>
  </cols>
  <sheetData>
    <row r="1" spans="1:58" ht="34.5" customHeight="1" thickBot="1" x14ac:dyDescent="0.35">
      <c r="A1" s="637" t="s">
        <v>169</v>
      </c>
      <c r="B1" s="638"/>
      <c r="C1" s="638"/>
      <c r="D1" s="638"/>
      <c r="E1" s="638"/>
      <c r="F1" s="638"/>
      <c r="G1" s="639"/>
      <c r="I1" s="634" t="s">
        <v>170</v>
      </c>
      <c r="J1" s="635"/>
      <c r="K1" s="635"/>
      <c r="L1" s="635"/>
      <c r="M1" s="635"/>
      <c r="N1" s="636"/>
      <c r="P1" s="637" t="s">
        <v>171</v>
      </c>
      <c r="Q1" s="638"/>
      <c r="R1" s="638"/>
      <c r="S1" s="638"/>
      <c r="T1" s="638"/>
      <c r="U1" s="638"/>
      <c r="V1" s="638"/>
      <c r="W1" s="638"/>
      <c r="X1" s="638"/>
      <c r="Y1" s="638"/>
      <c r="Z1" s="638"/>
      <c r="AA1" s="638"/>
      <c r="AB1" s="639"/>
      <c r="AD1" s="634" t="s">
        <v>173</v>
      </c>
      <c r="AE1" s="635"/>
      <c r="AF1" s="635"/>
      <c r="AG1" s="636"/>
      <c r="AI1" s="637" t="s">
        <v>172</v>
      </c>
      <c r="AJ1" s="638"/>
      <c r="AK1" s="638"/>
      <c r="AL1" s="638"/>
      <c r="AM1" s="638"/>
      <c r="AN1" s="638"/>
      <c r="AO1" s="638"/>
      <c r="AP1" s="638"/>
      <c r="AQ1" s="639"/>
      <c r="AS1" s="634" t="s">
        <v>176</v>
      </c>
      <c r="AT1" s="635"/>
      <c r="AU1" s="635"/>
      <c r="AV1" s="636"/>
      <c r="AX1" s="637" t="s">
        <v>177</v>
      </c>
      <c r="AY1" s="638"/>
      <c r="AZ1" s="638"/>
      <c r="BA1" s="638"/>
      <c r="BB1" s="638"/>
      <c r="BC1" s="638"/>
      <c r="BD1" s="638"/>
      <c r="BE1" s="638"/>
      <c r="BF1" s="639"/>
    </row>
    <row r="2" spans="1:58" ht="48.75" customHeight="1" x14ac:dyDescent="0.3">
      <c r="A2" s="646" t="s">
        <v>47</v>
      </c>
      <c r="B2" s="648" t="s">
        <v>44</v>
      </c>
      <c r="C2" s="649"/>
      <c r="D2" s="650" t="s">
        <v>43</v>
      </c>
      <c r="E2" s="651"/>
      <c r="F2" s="651"/>
      <c r="G2" s="652"/>
      <c r="I2" s="342" t="s">
        <v>267</v>
      </c>
      <c r="J2" s="342" t="s">
        <v>268</v>
      </c>
      <c r="K2" s="342" t="s">
        <v>269</v>
      </c>
      <c r="L2" s="342" t="s">
        <v>270</v>
      </c>
      <c r="M2" s="342" t="s">
        <v>271</v>
      </c>
      <c r="N2" s="342" t="s">
        <v>272</v>
      </c>
      <c r="O2" s="343"/>
      <c r="P2" s="640" t="s">
        <v>47</v>
      </c>
      <c r="Q2" s="642" t="s">
        <v>273</v>
      </c>
      <c r="R2" s="643"/>
      <c r="S2" s="642" t="s">
        <v>274</v>
      </c>
      <c r="T2" s="643"/>
      <c r="U2" s="644" t="s">
        <v>275</v>
      </c>
      <c r="V2" s="645"/>
      <c r="W2" s="642" t="s">
        <v>276</v>
      </c>
      <c r="X2" s="643"/>
      <c r="Y2" s="644" t="s">
        <v>277</v>
      </c>
      <c r="Z2" s="645"/>
      <c r="AA2" s="642" t="s">
        <v>278</v>
      </c>
      <c r="AB2" s="643"/>
      <c r="AD2" s="342" t="s">
        <v>279</v>
      </c>
      <c r="AE2" s="342" t="s">
        <v>280</v>
      </c>
      <c r="AF2" s="342" t="s">
        <v>271</v>
      </c>
      <c r="AG2" s="342" t="s">
        <v>281</v>
      </c>
      <c r="AH2" s="343"/>
      <c r="AI2" s="640" t="s">
        <v>47</v>
      </c>
      <c r="AJ2" s="642" t="s">
        <v>282</v>
      </c>
      <c r="AK2" s="643"/>
      <c r="AL2" s="642" t="s">
        <v>283</v>
      </c>
      <c r="AM2" s="643"/>
      <c r="AN2" s="644" t="s">
        <v>284</v>
      </c>
      <c r="AO2" s="645"/>
      <c r="AP2" s="642" t="s">
        <v>285</v>
      </c>
      <c r="AQ2" s="643"/>
      <c r="AS2" s="342" t="s">
        <v>279</v>
      </c>
      <c r="AT2" s="342" t="s">
        <v>286</v>
      </c>
      <c r="AU2" s="342" t="s">
        <v>271</v>
      </c>
      <c r="AV2" s="342" t="s">
        <v>287</v>
      </c>
      <c r="AW2" s="343"/>
      <c r="AX2" s="640" t="s">
        <v>47</v>
      </c>
      <c r="AY2" s="642" t="s">
        <v>282</v>
      </c>
      <c r="AZ2" s="643"/>
      <c r="BA2" s="642" t="s">
        <v>288</v>
      </c>
      <c r="BB2" s="643"/>
      <c r="BC2" s="644" t="s">
        <v>284</v>
      </c>
      <c r="BD2" s="645"/>
      <c r="BE2" s="642" t="s">
        <v>289</v>
      </c>
      <c r="BF2" s="643"/>
    </row>
    <row r="3" spans="1:58" ht="48.75" customHeight="1" thickBot="1" x14ac:dyDescent="0.35">
      <c r="A3" s="647"/>
      <c r="B3" s="344" t="s">
        <v>290</v>
      </c>
      <c r="C3" s="345" t="s">
        <v>291</v>
      </c>
      <c r="D3" s="344" t="s">
        <v>290</v>
      </c>
      <c r="E3" s="523" t="s">
        <v>291</v>
      </c>
      <c r="F3" s="522" t="s">
        <v>290</v>
      </c>
      <c r="G3" s="345" t="s">
        <v>291</v>
      </c>
      <c r="H3" s="298"/>
      <c r="I3" s="346">
        <f>IF('Control Panel'!$F$17&lt;='Control Panel'!$E$17,'Control Panel'!$F$17,'Control Panel'!$E$17)</f>
        <v>0.24</v>
      </c>
      <c r="J3" s="346">
        <f>IF('Control Panel'!$F$17&gt;'Control Panel'!E17,'Control Panel'!$F$17-'Control Panel'!$E$17,0)</f>
        <v>0</v>
      </c>
      <c r="K3" s="346">
        <f>IF('Control Panel'!$F$16&lt;='Control Panel'!$E$16,'Control Panel'!$F$16,'Control Panel'!$E$16)</f>
        <v>0.45999999999999996</v>
      </c>
      <c r="L3" s="346">
        <f>IF('Control Panel'!$F$16&gt;'Control Panel'!E16,'Control Panel'!$F$16-'Control Panel'!$E$16,0)</f>
        <v>0</v>
      </c>
      <c r="M3" s="347">
        <v>0.24</v>
      </c>
      <c r="N3" s="347">
        <v>0.46</v>
      </c>
      <c r="P3" s="641"/>
      <c r="Q3" s="348" t="s">
        <v>98</v>
      </c>
      <c r="R3" s="349" t="s">
        <v>99</v>
      </c>
      <c r="S3" s="348" t="s">
        <v>98</v>
      </c>
      <c r="T3" s="349" t="s">
        <v>99</v>
      </c>
      <c r="U3" s="350" t="s">
        <v>98</v>
      </c>
      <c r="V3" s="349" t="s">
        <v>99</v>
      </c>
      <c r="W3" s="348" t="s">
        <v>98</v>
      </c>
      <c r="X3" s="349" t="s">
        <v>99</v>
      </c>
      <c r="Y3" s="350" t="s">
        <v>98</v>
      </c>
      <c r="Z3" s="349" t="s">
        <v>99</v>
      </c>
      <c r="AA3" s="348" t="s">
        <v>98</v>
      </c>
      <c r="AB3" s="349" t="s">
        <v>99</v>
      </c>
      <c r="AD3" s="346">
        <f>'Control Panel'!$F$21</f>
        <v>0.03</v>
      </c>
      <c r="AE3" s="346">
        <f>'Control Panel'!$F$20</f>
        <v>0.97</v>
      </c>
      <c r="AF3" s="347">
        <v>0.03</v>
      </c>
      <c r="AG3" s="347">
        <v>0.97</v>
      </c>
      <c r="AI3" s="641"/>
      <c r="AJ3" s="348" t="s">
        <v>98</v>
      </c>
      <c r="AK3" s="349" t="s">
        <v>99</v>
      </c>
      <c r="AL3" s="348" t="s">
        <v>98</v>
      </c>
      <c r="AM3" s="349" t="s">
        <v>99</v>
      </c>
      <c r="AN3" s="350" t="s">
        <v>98</v>
      </c>
      <c r="AO3" s="349" t="s">
        <v>99</v>
      </c>
      <c r="AP3" s="348" t="s">
        <v>98</v>
      </c>
      <c r="AQ3" s="349" t="s">
        <v>99</v>
      </c>
      <c r="AS3" s="346">
        <f>'Control Panel'!$F$24</f>
        <v>0.03</v>
      </c>
      <c r="AT3" s="346">
        <f>'Control Panel'!$F$23</f>
        <v>0.97</v>
      </c>
      <c r="AU3" s="347">
        <v>0.03</v>
      </c>
      <c r="AV3" s="347">
        <v>0.97</v>
      </c>
      <c r="AX3" s="641"/>
      <c r="AY3" s="348" t="s">
        <v>98</v>
      </c>
      <c r="AZ3" s="349" t="s">
        <v>99</v>
      </c>
      <c r="BA3" s="348" t="s">
        <v>98</v>
      </c>
      <c r="BB3" s="349" t="s">
        <v>99</v>
      </c>
      <c r="BC3" s="350" t="s">
        <v>98</v>
      </c>
      <c r="BD3" s="349" t="s">
        <v>99</v>
      </c>
      <c r="BE3" s="348" t="s">
        <v>98</v>
      </c>
      <c r="BF3" s="349" t="s">
        <v>99</v>
      </c>
    </row>
    <row r="4" spans="1:58" x14ac:dyDescent="0.3">
      <c r="A4" s="351">
        <v>0.1</v>
      </c>
      <c r="B4" s="352">
        <f>(($I$3*Q4)+($J$3*S4)+($K$3*U4)+($L$3*W4))/(($M$3*Y4)+($N$3*AA4))</f>
        <v>0.99999999999999978</v>
      </c>
      <c r="C4" s="353">
        <f>(($I$3*R4)+($J$3*T4)+($K$3*V4)+($L$3*X4))/(($M$3*Z4)+($N$3*AB4))</f>
        <v>0.99999999999999978</v>
      </c>
      <c r="D4" s="354">
        <f>(($AD$3*AJ4)+($AE$3*AL4))/(($AF$3*AN4)+($AG$3*AP4))</f>
        <v>1</v>
      </c>
      <c r="E4" s="355">
        <f>(($AD$3*AK4)+($AE$3*AM4))/(($AF$3*AO4)+($AG$3*AQ4))</f>
        <v>1</v>
      </c>
      <c r="F4" s="355">
        <f>(($AS$3*AY4)+($AT$3*BA4))/(($AU$3*BC4)+($AV$3*BE4))</f>
        <v>1</v>
      </c>
      <c r="G4" s="356">
        <f>(($AS$3*AZ4)+($AT$3*BB4))/(($AU$3*BD4)+($AV$3*BF4))</f>
        <v>1</v>
      </c>
      <c r="H4" s="298"/>
      <c r="P4" s="358">
        <v>0.1</v>
      </c>
      <c r="Q4" s="359">
        <f>(('Methane Leakage'!$C$6/'Methane Leakage'!$C$5)*102*'Emissions Factors'!$C$38*'Calcs - Power'!$G3+'Emissions Factors'!$C$37*('Calcs - Power'!$H3+'Calcs - Power'!$I3+'Calcs - Power'!$J3+'Calcs - Power'!$K3))</f>
        <v>80.47932394934908</v>
      </c>
      <c r="R4" s="360">
        <f>(('Methane Leakage'!$C$6/'Methane Leakage'!$C$5)*102*'Emissions Factors'!$C$38*'Calcs - Power'!$B3+'Emissions Factors'!$C$37*('Calcs - Power'!$C3+'Calcs - Power'!$D3+'Calcs - Power'!$E3+'Calcs - Power'!$F3))</f>
        <v>4.033025866798317</v>
      </c>
      <c r="S4" s="359">
        <f>(('Methane Leakage'!$C$6/'Methane Leakage'!$C$5)*102*'Emissions Factors'!$D$38*'Calcs - Power'!$G3+'Emissions Factors'!$D$37*('Calcs - Power'!$H3+'Calcs - Power'!$I3+'Calcs - Power'!$J3+'Calcs - Power'!$K3))</f>
        <v>80.47932394934908</v>
      </c>
      <c r="T4" s="360">
        <f>(('Methane Leakage'!$C$6/'Methane Leakage'!$C$5)*102*'Emissions Factors'!$D$38*'Calcs - Power'!$B3+'Emissions Factors'!$D$37*('Calcs - Power'!$C3+'Calcs - Power'!$D3+'Calcs - Power'!$E3+'Calcs - Power'!$F3))</f>
        <v>4.033025866798317</v>
      </c>
      <c r="U4" s="361">
        <f>(102*'Emissions Factors'!$C$36*'Calcs - Power'!$G3+'Emissions Factors'!$C$35*('Calcs - Power'!$H3+'Calcs - Power'!$I3+'Calcs - Power'!$J3+'Calcs - Power'!$K3))</f>
        <v>104.70292003930699</v>
      </c>
      <c r="V4" s="360">
        <f>(102*'Emissions Factors'!$C$36*'Calcs - Power'!$B3+'Emissions Factors'!$C$35*('Calcs - Power'!$C3+'Calcs - Power'!$D3+'Calcs - Power'!$E3+'Calcs - Power'!$F3))</f>
        <v>5.2495337163107907</v>
      </c>
      <c r="W4" s="362">
        <f>(102*'Emissions Factors'!$D$36*'Calcs - Power'!$G3+'Emissions Factors'!$D$35*('Calcs - Power'!$H3+'Calcs - Power'!$I3+'Calcs - Power'!$J3+'Calcs - Power'!$K3))</f>
        <v>104.70292003930699</v>
      </c>
      <c r="X4" s="360">
        <f>(102*'Emissions Factors'!$D$36*'Calcs - Power'!$B3+'Emissions Factors'!$D$35*('Calcs - Power'!$C3+'Calcs - Power'!$D3+'Calcs - Power'!$E3+'Calcs - Power'!$F3))</f>
        <v>5.2495337163107907</v>
      </c>
      <c r="Y4" s="362">
        <f>(102*'Emissions Factors'!$C$38*'Calcs - Power'!$G3+'Emissions Factors'!$C$37*('Calcs - Power'!$H3+'Calcs - Power'!$I3+'Calcs - Power'!$J3+'Calcs - Power'!$K3))</f>
        <v>80.47932394934908</v>
      </c>
      <c r="Z4" s="360">
        <f>(102*'Emissions Factors'!$C$38*'Calcs - Power'!$B3+'Emissions Factors'!$C$37*('Calcs - Power'!$C3+'Calcs - Power'!$D3+'Calcs - Power'!$E3+'Calcs - Power'!$F3))</f>
        <v>4.033025866798317</v>
      </c>
      <c r="AA4" s="362">
        <f>(102*'Emissions Factors'!$C$36*'Calcs - Power'!$G3+'Emissions Factors'!$C$35*('Calcs - Power'!$H3+'Calcs - Power'!$I3+'Calcs - Power'!$J3+'Calcs - Power'!$K3))</f>
        <v>104.70292003930699</v>
      </c>
      <c r="AB4" s="360">
        <f>(102*'Emissions Factors'!$C$36*'Calcs - Power'!$B3+'Emissions Factors'!$C$35*('Calcs - Power'!$C3+'Calcs - Power'!$D3+'Calcs - Power'!$E3+'Calcs - Power'!$F3))</f>
        <v>5.2495337163107907</v>
      </c>
      <c r="AI4" s="358">
        <v>0.1</v>
      </c>
      <c r="AJ4" s="362">
        <f>(('Methane Leakage'!$G$6/'Methane Leakage'!$G$5)*102*'Emissions Factors'!$D$10*'Calcs - Power'!$G3+'Emissions Factors'!$D$11*('Calcs - Power'!$H3+'Calcs - Power'!$I3+'Calcs - Power'!$J3+'Calcs - Power'!$K3))</f>
        <v>12.213986215136462</v>
      </c>
      <c r="AK4" s="360">
        <f>(('Methane Leakage'!$G$6/'Methane Leakage'!$G$5)*102*'Emissions Factors'!$D$10*'Calcs - Power'!$B3+'Emissions Factors'!$D$11*('Calcs - Power'!$C3+'Calcs - Power'!$D3+'Calcs - Power'!$E3+'Calcs - Power'!$F3))</f>
        <v>0.61200270393093859</v>
      </c>
      <c r="AL4" s="359">
        <f>(102*'Emissions Factors'!$E$10*'Calcs - Power'!$G3+'Emissions Factors'!$E$11*('Calcs - Power'!H3+'Calcs - Power'!I3+'Calcs - Power'!J3+'Calcs - Power'!K3))</f>
        <v>9.6184096512676511</v>
      </c>
      <c r="AM4" s="360">
        <f>(102*'Emissions Factors'!$E$10*'Calcs - Power'!$B3+'Emissions Factors'!$E$11*('Calcs - Power'!C3+'Calcs - Power'!D3+'Calcs - Power'!E3+'Calcs - Power'!F3))</f>
        <v>0.48221679079872948</v>
      </c>
      <c r="AN4" s="362">
        <f>(102*'Emissions Factors'!$D$10*'Calcs - Power'!$G3+'Emissions Factors'!$D$11*('Calcs - Power'!$H3+'Calcs - Power'!$I3+'Calcs - Power'!$J3+'Calcs - Power'!$K3))</f>
        <v>12.213986215136462</v>
      </c>
      <c r="AO4" s="360">
        <f>(102*'Emissions Factors'!$D$10*'Calcs - Power'!$B3+'Emissions Factors'!$D$11*('Calcs - Power'!$C3+'Calcs - Power'!$D3+'Calcs - Power'!$E3+'Calcs - Power'!$F3))</f>
        <v>0.61200270393093859</v>
      </c>
      <c r="AP4" s="362">
        <f>(102*'Emissions Factors'!$E$10*'Calcs - Power'!$G3+'Emissions Factors'!$E$11*('Calcs - Power'!H3+'Calcs - Power'!I3+'Calcs - Power'!J3+'Calcs - Power'!K3))</f>
        <v>9.6184096512676511</v>
      </c>
      <c r="AQ4" s="360">
        <f>(102*'Emissions Factors'!$E$10*'Calcs - Power'!$B3+'Emissions Factors'!$E$11*('Calcs - Power'!C3+'Calcs - Power'!D3+'Calcs - Power'!E3+'Calcs - Power'!F3))</f>
        <v>0.48221679079872948</v>
      </c>
      <c r="AS4" s="357"/>
      <c r="AT4" s="357"/>
      <c r="AU4" s="357"/>
      <c r="AV4" s="357"/>
      <c r="AX4" s="358">
        <v>0.1</v>
      </c>
      <c r="AY4" s="362">
        <f>(('Methane Leakage'!$G$6/'Methane Leakage'!$G$5)*102*'Emissions Factors'!$F$10*'Calcs - Power'!$G3+'Emissions Factors'!$F$11*('Calcs - Power'!$H3+'Calcs - Power'!$I3+'Calcs - Power'!$J3+'Calcs - Power'!$K3))</f>
        <v>15067.851454267207</v>
      </c>
      <c r="AZ4" s="360">
        <f>(('Methane Leakage'!$G$6/'Methane Leakage'!$G$5)*102*'Emissions Factors'!$F$10*'Calcs - Power'!$B3+'Emissions Factors'!$F$11*('Calcs - Power'!$C3+'Calcs - Power'!$D3+'Calcs - Power'!$E3+'Calcs - Power'!$F3))</f>
        <v>755.09501446578179</v>
      </c>
      <c r="BA4" s="359">
        <f>(102*'Emissions Factors'!$G$10*'Calcs - Power'!$G3+'Emissions Factors'!$G$11*('Calcs - Power'!H3+'Calcs - Power'!I3+'Calcs - Power'!J3+'Calcs - Power'!K3))</f>
        <v>10929.642535676734</v>
      </c>
      <c r="BB4" s="360">
        <f>(102*'Emissions Factors'!$G$10*'Calcs - Power'!$B3+'Emissions Factors'!$G$11*('Calcs - Power'!C3+'Calcs - Power'!D3+'Calcs - Power'!E3+'Calcs - Power'!F3))</f>
        <v>547.97008929282129</v>
      </c>
      <c r="BC4" s="362">
        <f>(102*'Emissions Factors'!$F$10*'Calcs - Power'!$G3+'Emissions Factors'!$F$11*('Calcs - Power'!$H3+'Calcs - Power'!$I3+'Calcs - Power'!$J3+'Calcs - Power'!$K3))</f>
        <v>15067.851454267207</v>
      </c>
      <c r="BD4" s="360">
        <f>(102*'Emissions Factors'!$F$10*'Calcs - Power'!$B3+'Emissions Factors'!$F$11*('Calcs - Power'!$C3+'Calcs - Power'!$D3+'Calcs - Power'!$E3+'Calcs - Power'!$F3))</f>
        <v>755.09501446578179</v>
      </c>
      <c r="BE4" s="362">
        <f>(102*'Emissions Factors'!$G$10*'Calcs - Power'!$G3+'Emissions Factors'!$G$11*('Calcs - Power'!H3+'Calcs - Power'!I3+'Calcs - Power'!J3+'Calcs - Power'!K3))</f>
        <v>10929.642535676734</v>
      </c>
      <c r="BF4" s="360">
        <f>(102*'Emissions Factors'!$G$10*'Calcs - Power'!$B3+'Emissions Factors'!$G$11*('Calcs - Power'!C3+'Calcs - Power'!D3+'Calcs - Power'!E3+'Calcs - Power'!F3))</f>
        <v>547.97008929282129</v>
      </c>
    </row>
    <row r="5" spans="1:58" x14ac:dyDescent="0.3">
      <c r="A5" s="351">
        <f>0.1+A4</f>
        <v>0.2</v>
      </c>
      <c r="B5" s="352">
        <f t="shared" ref="B5:B68" si="0">(($I$3*Q5)+($J$3*S5)+($K$3*U5)+($L$3*W5))/(($M$3*Y5)+($N$3*AA5))</f>
        <v>1</v>
      </c>
      <c r="C5" s="363">
        <f t="shared" ref="C5:C68" si="1">(($I$3*R5)+($J$3*T5)+($K$3*V5)+($L$3*X5))/(($M$3*Z5)+($N$3*AB5))</f>
        <v>1</v>
      </c>
      <c r="D5" s="352">
        <f t="shared" ref="D5:D68" si="2">(($AD$3*AJ5)+($AE$3*AL5))/(($AF$3*AN5)+($AG$3*AP5))</f>
        <v>1</v>
      </c>
      <c r="E5" s="364">
        <f t="shared" ref="E5:E68" si="3">(($AD$3*AK5)+($AE$3*AM5))/(($AF$3*AO5)+($AG$3*AQ5))</f>
        <v>1</v>
      </c>
      <c r="F5" s="364">
        <f t="shared" ref="F5:F68" si="4">(($AS$3*AY5)+($AT$3*BA5))/(($AU$3*BC5)+($AV$3*BE5))</f>
        <v>1</v>
      </c>
      <c r="G5" s="365">
        <f t="shared" ref="G5:G68" si="5">(($AS$3*AZ5)+($AT$3*BB5))/(($AU$3*BD5)+($AV$3*BF5))</f>
        <v>1</v>
      </c>
      <c r="P5" s="358">
        <f>0.1+P4</f>
        <v>0.2</v>
      </c>
      <c r="Q5" s="359">
        <f>(('Methane Leakage'!$C$6/'Methane Leakage'!$C$5)*102*'Emissions Factors'!$C$38*'Calcs - Power'!$G4+'Emissions Factors'!$C$37*('Calcs - Power'!$H4+'Calcs - Power'!$I4+'Calcs - Power'!$J4+'Calcs - Power'!$K4))</f>
        <v>159.90214953007552</v>
      </c>
      <c r="R5" s="366">
        <f>(('Methane Leakage'!$C$6/'Methane Leakage'!$C$5)*102*'Emissions Factors'!$C$38*'Calcs - Power'!$B4+'Emissions Factors'!$C$37*('Calcs - Power'!$C4+'Calcs - Power'!$D4+'Calcs - Power'!$E4+'Calcs - Power'!$F4))</f>
        <v>16.060653625161994</v>
      </c>
      <c r="S5" s="359">
        <f>(('Methane Leakage'!$C$6/'Methane Leakage'!$C$5)*102*'Emissions Factors'!$D$38*'Calcs - Power'!$G4+'Emissions Factors'!$D$37*('Calcs - Power'!$H4+'Calcs - Power'!$I4+'Calcs - Power'!$J4+'Calcs - Power'!$K4))</f>
        <v>159.90214953007552</v>
      </c>
      <c r="T5" s="366">
        <f>(('Methane Leakage'!$C$6/'Methane Leakage'!$C$5)*102*'Emissions Factors'!$D$38*'Calcs - Power'!$B4+'Emissions Factors'!$D$37*('Calcs - Power'!$C4+'Calcs - Power'!$D4+'Calcs - Power'!$E4+'Calcs - Power'!$F4))</f>
        <v>16.060653625161994</v>
      </c>
      <c r="U5" s="361">
        <f>(102*'Emissions Factors'!$C$36*'Calcs - Power'!$G4+'Emissions Factors'!$C$35*('Calcs - Power'!$H4+'Calcs - Power'!$I4+'Calcs - Power'!$J4+'Calcs - Power'!$K4))</f>
        <v>207.74009655964142</v>
      </c>
      <c r="V5" s="366">
        <f>(102*'Emissions Factors'!$C$36*'Calcs - Power'!$B4+'Emissions Factors'!$C$35*('Calcs - Power'!$C4+'Calcs - Power'!$D4+'Calcs - Power'!$E4+'Calcs - Power'!$F4))</f>
        <v>20.885070355131099</v>
      </c>
      <c r="W5" s="359">
        <f>(102*'Emissions Factors'!$D$36*'Calcs - Power'!$G4+'Emissions Factors'!$D$35*('Calcs - Power'!$H4+'Calcs - Power'!$I4+'Calcs - Power'!$J4+'Calcs - Power'!$K4))</f>
        <v>207.74009655964142</v>
      </c>
      <c r="X5" s="366">
        <f>(102*'Emissions Factors'!$D$36*'Calcs - Power'!$B4+'Emissions Factors'!$D$35*('Calcs - Power'!$C4+'Calcs - Power'!$D4+'Calcs - Power'!$E4+'Calcs - Power'!$F4))</f>
        <v>20.885070355131099</v>
      </c>
      <c r="Y5" s="359">
        <f>(102*'Emissions Factors'!$C$38*'Calcs - Power'!$G4+'Emissions Factors'!$C$37*('Calcs - Power'!$H4+'Calcs - Power'!$I4+'Calcs - Power'!$J4+'Calcs - Power'!$K4))</f>
        <v>159.90214953007552</v>
      </c>
      <c r="Z5" s="366">
        <f>(102*'Emissions Factors'!$C$38*'Calcs - Power'!$B4+'Emissions Factors'!$C$37*('Calcs - Power'!$C4+'Calcs - Power'!$D4+'Calcs - Power'!$E4+'Calcs - Power'!$F4))</f>
        <v>16.060653625161994</v>
      </c>
      <c r="AA5" s="359">
        <f>(102*'Emissions Factors'!$C$36*'Calcs - Power'!$G4+'Emissions Factors'!$C$35*('Calcs - Power'!$H4+'Calcs - Power'!$I4+'Calcs - Power'!$J4+'Calcs - Power'!$K4))</f>
        <v>207.74009655964142</v>
      </c>
      <c r="AB5" s="366">
        <f>(102*'Emissions Factors'!$C$36*'Calcs - Power'!$B4+'Emissions Factors'!$C$35*('Calcs - Power'!$C4+'Calcs - Power'!$D4+'Calcs - Power'!$E4+'Calcs - Power'!$F4))</f>
        <v>20.885070355131099</v>
      </c>
      <c r="AI5" s="358">
        <f>0.1+AI4</f>
        <v>0.2</v>
      </c>
      <c r="AJ5" s="359">
        <f>(('Methane Leakage'!$G$6/'Methane Leakage'!$G$5)*102*'Emissions Factors'!$D$10*'Calcs - Power'!$G4+'Emissions Factors'!$D$11*('Calcs - Power'!$H4+'Calcs - Power'!$I4+'Calcs - Power'!$J4+'Calcs - Power'!$K4))</f>
        <v>24.275644003496222</v>
      </c>
      <c r="AK5" s="366">
        <f>(('Methane Leakage'!$G$6/'Methane Leakage'!$G$5)*102*'Emissions Factors'!$D$10*'Calcs - Power'!$B4+'Emissions Factors'!$D$11*('Calcs - Power'!$C4+'Calcs - Power'!$D4+'Calcs - Power'!$E4+'Calcs - Power'!$F4))</f>
        <v>2.4377203443151219</v>
      </c>
      <c r="AL5" s="359">
        <f>(102*'Emissions Factors'!$E$10*'Calcs - Power'!$G4+'Emissions Factors'!$E$11*('Calcs - Power'!H4+'Calcs - Power'!I4+'Calcs - Power'!J4+'Calcs - Power'!K4))</f>
        <v>19.086641982028745</v>
      </c>
      <c r="AM5" s="366">
        <f>(102*'Emissions Factors'!$E$10*'Calcs - Power'!$B4+'Emissions Factors'!$E$11*('Calcs - Power'!C4+'Calcs - Power'!D4+'Calcs - Power'!E4+'Calcs - Power'!F4))</f>
        <v>1.918677002635538</v>
      </c>
      <c r="AN5" s="359">
        <f>(102*'Emissions Factors'!$D$10*'Calcs - Power'!$G4+'Emissions Factors'!$D$11*('Calcs - Power'!$H4+'Calcs - Power'!$I4+'Calcs - Power'!$J4+'Calcs - Power'!$K4))</f>
        <v>24.275644003496222</v>
      </c>
      <c r="AO5" s="366">
        <f>(102*'Emissions Factors'!$D$10*'Calcs - Power'!$B4+'Emissions Factors'!$D$11*('Calcs - Power'!$C4+'Calcs - Power'!$D4+'Calcs - Power'!$E4+'Calcs - Power'!$F4))</f>
        <v>2.4377203443151219</v>
      </c>
      <c r="AP5" s="367">
        <f>(102*'Emissions Factors'!$E$10*'Calcs - Power'!$G4+'Emissions Factors'!$E$11*('Calcs - Power'!H4+'Calcs - Power'!I4+'Calcs - Power'!J4+'Calcs - Power'!K4))</f>
        <v>19.086641982028745</v>
      </c>
      <c r="AQ5" s="366">
        <f>(102*'Emissions Factors'!$E$10*'Calcs - Power'!$B4+'Emissions Factors'!$E$11*('Calcs - Power'!C4+'Calcs - Power'!D4+'Calcs - Power'!E4+'Calcs - Power'!F4))</f>
        <v>1.918677002635538</v>
      </c>
      <c r="AS5" s="357"/>
      <c r="AT5" s="357"/>
      <c r="AU5" s="357"/>
      <c r="AV5" s="357"/>
      <c r="AX5" s="358">
        <f>0.1+AX4</f>
        <v>0.2</v>
      </c>
      <c r="AY5" s="359">
        <f>(('Methane Leakage'!$G$6/'Methane Leakage'!$G$5)*102*'Emissions Factors'!$F$10*'Calcs - Power'!$G4+'Emissions Factors'!$F$11*('Calcs - Power'!$H4+'Calcs - Power'!$I4+'Calcs - Power'!$J4+'Calcs - Power'!$K4))</f>
        <v>29937.200682585026</v>
      </c>
      <c r="AZ5" s="366">
        <f>(('Methane Leakage'!$G$6/'Methane Leakage'!$G$5)*102*'Emissions Factors'!$F$10*'Calcs - Power'!$B4+'Emissions Factors'!$F$11*('Calcs - Power'!$C4+'Calcs - Power'!$D4+'Calcs - Power'!$E4+'Calcs - Power'!$F4))</f>
        <v>3006.9545796089897</v>
      </c>
      <c r="BA5" s="359">
        <f>(102*'Emissions Factors'!$G$10*'Calcs - Power'!$G4+'Emissions Factors'!$G$11*('Calcs - Power'!H4+'Calcs - Power'!I4+'Calcs - Power'!J4+'Calcs - Power'!K4))</f>
        <v>21686.962570644257</v>
      </c>
      <c r="BB5" s="366">
        <f>(102*'Emissions Factors'!$G$10*'Calcs - Power'!$B4+'Emissions Factors'!$G$11*('Calcs - Power'!C4+'Calcs - Power'!D4+'Calcs - Power'!E4+'Calcs - Power'!F4))</f>
        <v>2180.1855640792733</v>
      </c>
      <c r="BC5" s="359">
        <f>(102*'Emissions Factors'!$F$10*'Calcs - Power'!$G4+'Emissions Factors'!$F$11*('Calcs - Power'!$H4+'Calcs - Power'!$I4+'Calcs - Power'!$J4+'Calcs - Power'!$K4))</f>
        <v>29937.200682585026</v>
      </c>
      <c r="BD5" s="366">
        <f>(102*'Emissions Factors'!$F$10*'Calcs - Power'!$B4+'Emissions Factors'!$F$11*('Calcs - Power'!$C4+'Calcs - Power'!$D4+'Calcs - Power'!$E4+'Calcs - Power'!$F4))</f>
        <v>3006.9545796089897</v>
      </c>
      <c r="BE5" s="359">
        <f>(102*'Emissions Factors'!$G$10*'Calcs - Power'!$G4+'Emissions Factors'!$G$11*('Calcs - Power'!H4+'Calcs - Power'!I4+'Calcs - Power'!J4+'Calcs - Power'!K4))</f>
        <v>21686.962570644257</v>
      </c>
      <c r="BF5" s="366">
        <f>(102*'Emissions Factors'!$G$10*'Calcs - Power'!$B4+'Emissions Factors'!$G$11*('Calcs - Power'!C4+'Calcs - Power'!D4+'Calcs - Power'!E4+'Calcs - Power'!F4))</f>
        <v>2180.1855640792733</v>
      </c>
    </row>
    <row r="6" spans="1:58" x14ac:dyDescent="0.3">
      <c r="A6" s="351">
        <f t="shared" ref="A6:A13" si="6">0.1+A5</f>
        <v>0.30000000000000004</v>
      </c>
      <c r="B6" s="352">
        <f t="shared" si="0"/>
        <v>1</v>
      </c>
      <c r="C6" s="363">
        <f t="shared" si="1"/>
        <v>0.99999999999999989</v>
      </c>
      <c r="D6" s="352">
        <f t="shared" si="2"/>
        <v>1</v>
      </c>
      <c r="E6" s="364">
        <f t="shared" si="3"/>
        <v>1</v>
      </c>
      <c r="F6" s="364">
        <f t="shared" si="4"/>
        <v>1</v>
      </c>
      <c r="G6" s="365">
        <f t="shared" si="5"/>
        <v>1</v>
      </c>
      <c r="P6" s="358">
        <f t="shared" ref="P6:P13" si="7">0.1+P5</f>
        <v>0.30000000000000004</v>
      </c>
      <c r="Q6" s="359">
        <f>(('Methane Leakage'!$C$6/'Methane Leakage'!$C$5)*102*'Emissions Factors'!$C$38*'Calcs - Power'!$G5+'Emissions Factors'!$C$37*('Calcs - Power'!$H5+'Calcs - Power'!$I5+'Calcs - Power'!$J5+'Calcs - Power'!$K5))</f>
        <v>238.32676896892937</v>
      </c>
      <c r="R6" s="366">
        <f>(('Methane Leakage'!$C$6/'Methane Leakage'!$C$5)*102*'Emissions Factors'!$C$38*'Calcs - Power'!$B5+'Emissions Factors'!$C$37*('Calcs - Power'!$C5+'Calcs - Power'!$D5+'Calcs - Power'!$E5+'Calcs - Power'!$F5))</f>
        <v>35.98018724328719</v>
      </c>
      <c r="S6" s="359">
        <f>(('Methane Leakage'!$C$6/'Methane Leakage'!$C$5)*102*'Emissions Factors'!$D$38*'Calcs - Power'!$G5+'Emissions Factors'!$D$37*('Calcs - Power'!$H5+'Calcs - Power'!$I5+'Calcs - Power'!$J5+'Calcs - Power'!$K5))</f>
        <v>238.32676896892937</v>
      </c>
      <c r="T6" s="366">
        <f>(('Methane Leakage'!$C$6/'Methane Leakage'!$C$5)*102*'Emissions Factors'!$D$38*'Calcs - Power'!$B5+'Emissions Factors'!$D$37*('Calcs - Power'!$C5+'Calcs - Power'!$D5+'Calcs - Power'!$E5+'Calcs - Power'!$F5))</f>
        <v>35.98018724328719</v>
      </c>
      <c r="U6" s="361">
        <f>(102*'Emissions Factors'!$C$36*'Calcs - Power'!$G5+'Emissions Factors'!$C$35*('Calcs - Power'!$H5+'Calcs - Power'!$I5+'Calcs - Power'!$J5+'Calcs - Power'!$K5))</f>
        <v>309.22689970214799</v>
      </c>
      <c r="V6" s="366">
        <f>(102*'Emissions Factors'!$C$36*'Calcs - Power'!$B5+'Emissions Factors'!$C$35*('Calcs - Power'!$C5+'Calcs - Power'!$D5+'Calcs - Power'!$E5+'Calcs - Power'!$F5))</f>
        <v>46.74588414698038</v>
      </c>
      <c r="W6" s="359">
        <f>(102*'Emissions Factors'!$D$36*'Calcs - Power'!$G5+'Emissions Factors'!$D$35*('Calcs - Power'!$H5+'Calcs - Power'!$I5+'Calcs - Power'!$J5+'Calcs - Power'!$K5))</f>
        <v>309.22689970214799</v>
      </c>
      <c r="X6" s="366">
        <f>(102*'Emissions Factors'!$D$36*'Calcs - Power'!$B5+'Emissions Factors'!$D$35*('Calcs - Power'!$C5+'Calcs - Power'!$D5+'Calcs - Power'!$E5+'Calcs - Power'!$F5))</f>
        <v>46.74588414698038</v>
      </c>
      <c r="Y6" s="359">
        <f>(102*'Emissions Factors'!$C$38*'Calcs - Power'!$G5+'Emissions Factors'!$C$37*('Calcs - Power'!$H5+'Calcs - Power'!$I5+'Calcs - Power'!$J5+'Calcs - Power'!$K5))</f>
        <v>238.32676896892937</v>
      </c>
      <c r="Z6" s="366">
        <f>(102*'Emissions Factors'!$C$38*'Calcs - Power'!$B5+'Emissions Factors'!$C$37*('Calcs - Power'!$C5+'Calcs - Power'!$D5+'Calcs - Power'!$E5+'Calcs - Power'!$F5))</f>
        <v>35.98018724328719</v>
      </c>
      <c r="AA6" s="359">
        <f>(102*'Emissions Factors'!$C$36*'Calcs - Power'!$G5+'Emissions Factors'!$C$35*('Calcs - Power'!$H5+'Calcs - Power'!$I5+'Calcs - Power'!$J5+'Calcs - Power'!$K5))</f>
        <v>309.22689970214799</v>
      </c>
      <c r="AB6" s="366">
        <f>(102*'Emissions Factors'!$C$36*'Calcs - Power'!$B5+'Emissions Factors'!$C$35*('Calcs - Power'!$C5+'Calcs - Power'!$D5+'Calcs - Power'!$E5+'Calcs - Power'!$F5))</f>
        <v>46.74588414698038</v>
      </c>
      <c r="AI6" s="358">
        <f t="shared" ref="AI6:AI13" si="8">0.1+AI5</f>
        <v>0.30000000000000004</v>
      </c>
      <c r="AJ6" s="359">
        <f>(('Methane Leakage'!$G$6/'Methane Leakage'!$G$5)*102*'Emissions Factors'!$D$10*'Calcs - Power'!$G5+'Emissions Factors'!$D$11*('Calcs - Power'!$H5+'Calcs - Power'!$I5+'Calcs - Power'!$J5+'Calcs - Power'!$K5))</f>
        <v>36.192732664275802</v>
      </c>
      <c r="AK6" s="366">
        <f>(('Methane Leakage'!$G$6/'Methane Leakage'!$G$5)*102*'Emissions Factors'!$D$10*'Calcs - Power'!$B5+'Emissions Factors'!$D$11*('Calcs - Power'!$C5+'Calcs - Power'!$D5+'Calcs - Power'!$E5+'Calcs - Power'!$F5))</f>
        <v>5.4623131916349523</v>
      </c>
      <c r="AL6" s="359">
        <f>(102*'Emissions Factors'!$E$10*'Calcs - Power'!$G5+'Emissions Factors'!$E$11*('Calcs - Power'!H5+'Calcs - Power'!I5+'Calcs - Power'!J5+'Calcs - Power'!K5))</f>
        <v>28.414909272593427</v>
      </c>
      <c r="AM6" s="366">
        <f>(102*'Emissions Factors'!$E$10*'Calcs - Power'!$B5+'Emissions Factors'!$E$11*('Calcs - Power'!C5+'Calcs - Power'!D5+'Calcs - Power'!E5+'Calcs - Power'!F5))</f>
        <v>4.2948805894719779</v>
      </c>
      <c r="AN6" s="359">
        <f>(102*'Emissions Factors'!$D$10*'Calcs - Power'!$G5+'Emissions Factors'!$D$11*('Calcs - Power'!$H5+'Calcs - Power'!$I5+'Calcs - Power'!$J5+'Calcs - Power'!$K5))</f>
        <v>36.192732664275802</v>
      </c>
      <c r="AO6" s="366">
        <f>(102*'Emissions Factors'!$D$10*'Calcs - Power'!$B5+'Emissions Factors'!$D$11*('Calcs - Power'!$C5+'Calcs - Power'!$D5+'Calcs - Power'!$E5+'Calcs - Power'!$F5))</f>
        <v>5.4623131916349523</v>
      </c>
      <c r="AP6" s="367">
        <f>(102*'Emissions Factors'!$E$10*'Calcs - Power'!$G5+'Emissions Factors'!$E$11*('Calcs - Power'!H5+'Calcs - Power'!I5+'Calcs - Power'!J5+'Calcs - Power'!K5))</f>
        <v>28.414909272593427</v>
      </c>
      <c r="AQ6" s="366">
        <f>(102*'Emissions Factors'!$E$10*'Calcs - Power'!$B5+'Emissions Factors'!$E$11*('Calcs - Power'!C5+'Calcs - Power'!D5+'Calcs - Power'!E5+'Calcs - Power'!F5))</f>
        <v>4.2948805894719779</v>
      </c>
      <c r="AS6" s="357"/>
      <c r="AT6" s="357"/>
      <c r="AU6" s="357"/>
      <c r="AV6" s="357"/>
      <c r="AX6" s="358">
        <f t="shared" ref="AX6:AX13" si="9">0.1+AX5</f>
        <v>0.30000000000000004</v>
      </c>
      <c r="AY6" s="359">
        <f>(('Methane Leakage'!$G$6/'Methane Leakage'!$G$5)*102*'Emissions Factors'!$F$10*'Calcs - Power'!$G5+'Emissions Factors'!$F$11*('Calcs - Power'!$H5+'Calcs - Power'!$I5+'Calcs - Power'!$J5+'Calcs - Power'!$K5))</f>
        <v>44619.056252530296</v>
      </c>
      <c r="AZ6" s="366">
        <f>(('Methane Leakage'!$G$6/'Methane Leakage'!$G$5)*102*'Emissions Factors'!$F$10*'Calcs - Power'!$B5+'Emissions Factors'!$F$11*('Calcs - Power'!$C5+'Calcs - Power'!$D5+'Calcs - Power'!$E5+'Calcs - Power'!$F5))</f>
        <v>6736.2863090027604</v>
      </c>
      <c r="BA6" s="359">
        <f>(102*'Emissions Factors'!$G$10*'Calcs - Power'!$G5+'Emissions Factors'!$G$11*('Calcs - Power'!H5+'Calcs - Power'!I5+'Calcs - Power'!J5+'Calcs - Power'!K5))</f>
        <v>32283.791554122276</v>
      </c>
      <c r="BB6" s="366">
        <f>(102*'Emissions Factors'!$G$10*'Calcs - Power'!$B5+'Emissions Factors'!$G$11*('Calcs - Power'!C5+'Calcs - Power'!D5+'Calcs - Power'!E5+'Calcs - Power'!F5))</f>
        <v>4880.013949828628</v>
      </c>
      <c r="BC6" s="359">
        <f>(102*'Emissions Factors'!$F$10*'Calcs - Power'!$G5+'Emissions Factors'!$F$11*('Calcs - Power'!$H5+'Calcs - Power'!$I5+'Calcs - Power'!$J5+'Calcs - Power'!$K5))</f>
        <v>44619.056252530296</v>
      </c>
      <c r="BD6" s="366">
        <f>(102*'Emissions Factors'!$F$10*'Calcs - Power'!$B5+'Emissions Factors'!$F$11*('Calcs - Power'!$C5+'Calcs - Power'!$D5+'Calcs - Power'!$E5+'Calcs - Power'!$F5))</f>
        <v>6736.2863090027604</v>
      </c>
      <c r="BE6" s="359">
        <f>(102*'Emissions Factors'!$G$10*'Calcs - Power'!$G5+'Emissions Factors'!$G$11*('Calcs - Power'!H5+'Calcs - Power'!I5+'Calcs - Power'!J5+'Calcs - Power'!K5))</f>
        <v>32283.791554122276</v>
      </c>
      <c r="BF6" s="366">
        <f>(102*'Emissions Factors'!$G$10*'Calcs - Power'!$B5+'Emissions Factors'!$G$11*('Calcs - Power'!C5+'Calcs - Power'!D5+'Calcs - Power'!E5+'Calcs - Power'!F5))</f>
        <v>4880.013949828628</v>
      </c>
    </row>
    <row r="7" spans="1:58" x14ac:dyDescent="0.3">
      <c r="A7" s="351">
        <f t="shared" si="6"/>
        <v>0.4</v>
      </c>
      <c r="B7" s="352">
        <f t="shared" si="0"/>
        <v>1</v>
      </c>
      <c r="C7" s="363">
        <f t="shared" si="1"/>
        <v>1</v>
      </c>
      <c r="D7" s="352">
        <f t="shared" si="2"/>
        <v>1</v>
      </c>
      <c r="E7" s="364">
        <f t="shared" si="3"/>
        <v>1</v>
      </c>
      <c r="F7" s="364">
        <f t="shared" si="4"/>
        <v>1</v>
      </c>
      <c r="G7" s="365">
        <f t="shared" si="5"/>
        <v>1</v>
      </c>
      <c r="P7" s="358">
        <f t="shared" si="7"/>
        <v>0.4</v>
      </c>
      <c r="Q7" s="359">
        <f>(('Methane Leakage'!$C$6/'Methane Leakage'!$C$5)*102*'Emissions Factors'!$C$38*'Calcs - Power'!$G6+'Emissions Factors'!$C$37*('Calcs - Power'!$H6+'Calcs - Power'!$I6+'Calcs - Power'!$J6+'Calcs - Power'!$K6))</f>
        <v>315.80696275401885</v>
      </c>
      <c r="R7" s="366">
        <f>(('Methane Leakage'!$C$6/'Methane Leakage'!$C$5)*102*'Emissions Factors'!$C$38*'Calcs - Power'!$B6+'Emissions Factors'!$C$37*('Calcs - Power'!$C6+'Calcs - Power'!$D6+'Calcs - Power'!$E6+'Calcs - Power'!$F6))</f>
        <v>63.694531169148725</v>
      </c>
      <c r="S7" s="359">
        <f>(('Methane Leakage'!$C$6/'Methane Leakage'!$C$5)*102*'Emissions Factors'!$D$38*'Calcs - Power'!$G6+'Emissions Factors'!$D$37*('Calcs - Power'!$H6+'Calcs - Power'!$I6+'Calcs - Power'!$J6+'Calcs - Power'!$K6))</f>
        <v>315.80696275401885</v>
      </c>
      <c r="T7" s="366">
        <f>(('Methane Leakage'!$C$6/'Methane Leakage'!$C$5)*102*'Emissions Factors'!$D$38*'Calcs - Power'!$B6+'Emissions Factors'!$D$37*('Calcs - Power'!$C6+'Calcs - Power'!$D6+'Calcs - Power'!$E6+'Calcs - Power'!$F6))</f>
        <v>63.694531169148725</v>
      </c>
      <c r="U7" s="361">
        <f>(102*'Emissions Factors'!$C$36*'Calcs - Power'!$G6+'Emissions Factors'!$C$35*('Calcs - Power'!$H6+'Calcs - Power'!$I6+'Calcs - Power'!$J6+'Calcs - Power'!$K6))</f>
        <v>409.26948309411557</v>
      </c>
      <c r="V7" s="366">
        <f>(102*'Emissions Factors'!$C$36*'Calcs - Power'!$B6+'Emissions Factors'!$C$35*('Calcs - Power'!$C6+'Calcs - Power'!$D6+'Calcs - Power'!$E6+'Calcs - Power'!$F6))</f>
        <v>82.682319042105931</v>
      </c>
      <c r="W7" s="359">
        <f>(102*'Emissions Factors'!$D$36*'Calcs - Power'!$G6+'Emissions Factors'!$D$35*('Calcs - Power'!$H6+'Calcs - Power'!$I6+'Calcs - Power'!$J6+'Calcs - Power'!$K6))</f>
        <v>409.26948309411557</v>
      </c>
      <c r="X7" s="366">
        <f>(102*'Emissions Factors'!$D$36*'Calcs - Power'!$B6+'Emissions Factors'!$D$35*('Calcs - Power'!$C6+'Calcs - Power'!$D6+'Calcs - Power'!$E6+'Calcs - Power'!$F6))</f>
        <v>82.682319042105931</v>
      </c>
      <c r="Y7" s="359">
        <f>(102*'Emissions Factors'!$C$38*'Calcs - Power'!$G6+'Emissions Factors'!$C$37*('Calcs - Power'!$H6+'Calcs - Power'!$I6+'Calcs - Power'!$J6+'Calcs - Power'!$K6))</f>
        <v>315.80696275401885</v>
      </c>
      <c r="Z7" s="366">
        <f>(102*'Emissions Factors'!$C$38*'Calcs - Power'!$B6+'Emissions Factors'!$C$37*('Calcs - Power'!$C6+'Calcs - Power'!$D6+'Calcs - Power'!$E6+'Calcs - Power'!$F6))</f>
        <v>63.694531169148725</v>
      </c>
      <c r="AA7" s="359">
        <f>(102*'Emissions Factors'!$C$36*'Calcs - Power'!$G6+'Emissions Factors'!$C$35*('Calcs - Power'!$H6+'Calcs - Power'!$I6+'Calcs - Power'!$J6+'Calcs - Power'!$K6))</f>
        <v>409.26948309411557</v>
      </c>
      <c r="AB7" s="366">
        <f>(102*'Emissions Factors'!$C$36*'Calcs - Power'!$B6+'Emissions Factors'!$C$35*('Calcs - Power'!$C6+'Calcs - Power'!$D6+'Calcs - Power'!$E6+'Calcs - Power'!$F6))</f>
        <v>82.682319042105931</v>
      </c>
      <c r="AI7" s="358">
        <f t="shared" si="8"/>
        <v>0.4</v>
      </c>
      <c r="AJ7" s="359">
        <f>(('Methane Leakage'!$G$6/'Methane Leakage'!$G$5)*102*'Emissions Factors'!$D$10*'Calcs - Power'!$G6+'Emissions Factors'!$D$11*('Calcs - Power'!$H6+'Calcs - Power'!$I6+'Calcs - Power'!$J6+'Calcs - Power'!$K6))</f>
        <v>47.972418832887342</v>
      </c>
      <c r="AK7" s="366">
        <f>(('Methane Leakage'!$G$6/'Methane Leakage'!$G$5)*102*'Emissions Factors'!$D$10*'Calcs - Power'!$B6+'Emissions Factors'!$D$11*('Calcs - Power'!$C6+'Calcs - Power'!$D6+'Calcs - Power'!$E6+'Calcs - Power'!$F6))</f>
        <v>9.6716873991324519</v>
      </c>
      <c r="AL7" s="359">
        <f>(102*'Emissions Factors'!$E$10*'Calcs - Power'!$G6+'Emissions Factors'!$E$11*('Calcs - Power'!H6+'Calcs - Power'!I6+'Calcs - Power'!J6+'Calcs - Power'!K6))</f>
        <v>37.612609822710837</v>
      </c>
      <c r="AM7" s="366">
        <f>(102*'Emissions Factors'!$E$10*'Calcs - Power'!$B6+'Emissions Factors'!$E$11*('Calcs - Power'!C6+'Calcs - Power'!D6+'Calcs - Power'!E6+'Calcs - Power'!F6))</f>
        <v>7.5973074631081143</v>
      </c>
      <c r="AN7" s="359">
        <f>(102*'Emissions Factors'!$D$10*'Calcs - Power'!$G6+'Emissions Factors'!$D$11*('Calcs - Power'!$H6+'Calcs - Power'!$I6+'Calcs - Power'!$J6+'Calcs - Power'!$K6))</f>
        <v>47.972418832887342</v>
      </c>
      <c r="AO7" s="366">
        <f>(102*'Emissions Factors'!$D$10*'Calcs - Power'!$B6+'Emissions Factors'!$D$11*('Calcs - Power'!$C6+'Calcs - Power'!$D6+'Calcs - Power'!$E6+'Calcs - Power'!$F6))</f>
        <v>9.6716873991324519</v>
      </c>
      <c r="AP7" s="367">
        <f>(102*'Emissions Factors'!$E$10*'Calcs - Power'!$G6+'Emissions Factors'!$E$11*('Calcs - Power'!H6+'Calcs - Power'!I6+'Calcs - Power'!J6+'Calcs - Power'!K6))</f>
        <v>37.612609822710837</v>
      </c>
      <c r="AQ7" s="366">
        <f>(102*'Emissions Factors'!$E$10*'Calcs - Power'!$B6+'Emissions Factors'!$E$11*('Calcs - Power'!C6+'Calcs - Power'!D6+'Calcs - Power'!E6+'Calcs - Power'!F6))</f>
        <v>7.5973074631081143</v>
      </c>
      <c r="AS7" s="357"/>
      <c r="AT7" s="357"/>
      <c r="AU7" s="357"/>
      <c r="AV7" s="357"/>
      <c r="AX7" s="358">
        <f t="shared" si="9"/>
        <v>0.4</v>
      </c>
      <c r="AY7" s="359">
        <f>(('Methane Leakage'!$G$6/'Methane Leakage'!$G$5)*102*'Emissions Factors'!$F$10*'Calcs - Power'!$G6+'Emissions Factors'!$F$11*('Calcs - Power'!$H6+'Calcs - Power'!$I6+'Calcs - Power'!$J6+'Calcs - Power'!$K6))</f>
        <v>59123.57399585269</v>
      </c>
      <c r="AZ7" s="366">
        <f>(('Methane Leakage'!$G$6/'Methane Leakage'!$G$5)*102*'Emissions Factors'!$F$10*'Calcs - Power'!$B6+'Emissions Factors'!$F$11*('Calcs - Power'!$C6+'Calcs - Power'!$D6+'Calcs - Power'!$E6+'Calcs - Power'!$F6))</f>
        <v>11924.855439645176</v>
      </c>
      <c r="BA7" s="359">
        <f>(102*'Emissions Factors'!$G$10*'Calcs - Power'!$G6+'Emissions Factors'!$G$11*('Calcs - Power'!H6+'Calcs - Power'!I6+'Calcs - Power'!J6+'Calcs - Power'!K6))</f>
        <v>42731.01677298882</v>
      </c>
      <c r="BB7" s="366">
        <f>(102*'Emissions Factors'!$G$10*'Calcs - Power'!$B6+'Emissions Factors'!$G$11*('Calcs - Power'!C6+'Calcs - Power'!D6+'Calcs - Power'!E6+'Calcs - Power'!F6))</f>
        <v>8631.9580462202775</v>
      </c>
      <c r="BC7" s="359">
        <f>(102*'Emissions Factors'!$F$10*'Calcs - Power'!$G6+'Emissions Factors'!$F$11*('Calcs - Power'!$H6+'Calcs - Power'!$I6+'Calcs - Power'!$J6+'Calcs - Power'!$K6))</f>
        <v>59123.57399585269</v>
      </c>
      <c r="BD7" s="366">
        <f>(102*'Emissions Factors'!$F$10*'Calcs - Power'!$B6+'Emissions Factors'!$F$11*('Calcs - Power'!$C6+'Calcs - Power'!$D6+'Calcs - Power'!$E6+'Calcs - Power'!$F6))</f>
        <v>11924.855439645176</v>
      </c>
      <c r="BE7" s="359">
        <f>(102*'Emissions Factors'!$G$10*'Calcs - Power'!$G6+'Emissions Factors'!$G$11*('Calcs - Power'!H6+'Calcs - Power'!I6+'Calcs - Power'!J6+'Calcs - Power'!K6))</f>
        <v>42731.01677298882</v>
      </c>
      <c r="BF7" s="366">
        <f>(102*'Emissions Factors'!$G$10*'Calcs - Power'!$B6+'Emissions Factors'!$G$11*('Calcs - Power'!C6+'Calcs - Power'!D6+'Calcs - Power'!E6+'Calcs - Power'!F6))</f>
        <v>8631.9580462202775</v>
      </c>
    </row>
    <row r="8" spans="1:58" x14ac:dyDescent="0.3">
      <c r="A8" s="351">
        <f t="shared" si="6"/>
        <v>0.5</v>
      </c>
      <c r="B8" s="352">
        <f t="shared" si="0"/>
        <v>0.99999999999999978</v>
      </c>
      <c r="C8" s="363">
        <f t="shared" si="1"/>
        <v>1</v>
      </c>
      <c r="D8" s="352">
        <f t="shared" si="2"/>
        <v>1</v>
      </c>
      <c r="E8" s="364">
        <f t="shared" si="3"/>
        <v>1</v>
      </c>
      <c r="F8" s="364">
        <f t="shared" si="4"/>
        <v>1</v>
      </c>
      <c r="G8" s="365">
        <f t="shared" si="5"/>
        <v>1</v>
      </c>
      <c r="P8" s="358">
        <f t="shared" si="7"/>
        <v>0.5</v>
      </c>
      <c r="Q8" s="359">
        <f>(('Methane Leakage'!$C$6/'Methane Leakage'!$C$5)*102*'Emissions Factors'!$C$38*'Calcs - Power'!$G7+'Emissions Factors'!$C$37*('Calcs - Power'!$H7+'Calcs - Power'!$I7+'Calcs - Power'!$J7+'Calcs - Power'!$K7))</f>
        <v>392.3923628852242</v>
      </c>
      <c r="R8" s="366">
        <f>(('Methane Leakage'!$C$6/'Methane Leakage'!$C$5)*102*'Emissions Factors'!$C$38*'Calcs - Power'!$B7+'Emissions Factors'!$C$37*('Calcs - Power'!$C7+'Calcs - Power'!$D7+'Calcs - Power'!$E7+'Calcs - Power'!$F7))</f>
        <v>99.111757574103393</v>
      </c>
      <c r="S8" s="359">
        <f>(('Methane Leakage'!$C$6/'Methane Leakage'!$C$5)*102*'Emissions Factors'!$D$38*'Calcs - Power'!$G7+'Emissions Factors'!$D$37*('Calcs - Power'!$H7+'Calcs - Power'!$I7+'Calcs - Power'!$J7+'Calcs - Power'!$K7))</f>
        <v>392.3923628852242</v>
      </c>
      <c r="T8" s="366">
        <f>(('Methane Leakage'!$C$6/'Methane Leakage'!$C$5)*102*'Emissions Factors'!$D$38*'Calcs - Power'!$B7+'Emissions Factors'!$D$37*('Calcs - Power'!$C7+'Calcs - Power'!$D7+'Calcs - Power'!$E7+'Calcs - Power'!$F7))</f>
        <v>99.111757574103393</v>
      </c>
      <c r="U8" s="361">
        <f>(102*'Emissions Factors'!$C$36*'Calcs - Power'!$G7+'Emissions Factors'!$C$35*('Calcs - Power'!$H7+'Calcs - Power'!$I7+'Calcs - Power'!$J7+'Calcs - Power'!$K7))</f>
        <v>507.96552838086438</v>
      </c>
      <c r="V8" s="366">
        <f>(102*'Emissions Factors'!$C$36*'Calcs - Power'!$B7+'Emissions Factors'!$C$35*('Calcs - Power'!$C7+'Calcs - Power'!$D7+'Calcs - Power'!$E7+'Calcs - Power'!$F7))</f>
        <v>128.5549048084699</v>
      </c>
      <c r="W8" s="359">
        <f>(102*'Emissions Factors'!$D$36*'Calcs - Power'!$G7+'Emissions Factors'!$D$35*('Calcs - Power'!$H7+'Calcs - Power'!$I7+'Calcs - Power'!$J7+'Calcs - Power'!$K7))</f>
        <v>507.96552838086438</v>
      </c>
      <c r="X8" s="366">
        <f>(102*'Emissions Factors'!$D$36*'Calcs - Power'!$B7+'Emissions Factors'!$D$35*('Calcs - Power'!$C7+'Calcs - Power'!$D7+'Calcs - Power'!$E7+'Calcs - Power'!$F7))</f>
        <v>128.5549048084699</v>
      </c>
      <c r="Y8" s="359">
        <f>(102*'Emissions Factors'!$C$38*'Calcs - Power'!$G7+'Emissions Factors'!$C$37*('Calcs - Power'!$H7+'Calcs - Power'!$I7+'Calcs - Power'!$J7+'Calcs - Power'!$K7))</f>
        <v>392.3923628852242</v>
      </c>
      <c r="Z8" s="366">
        <f>(102*'Emissions Factors'!$C$38*'Calcs - Power'!$B7+'Emissions Factors'!$C$37*('Calcs - Power'!$C7+'Calcs - Power'!$D7+'Calcs - Power'!$E7+'Calcs - Power'!$F7))</f>
        <v>99.111757574103393</v>
      </c>
      <c r="AA8" s="359">
        <f>(102*'Emissions Factors'!$C$36*'Calcs - Power'!$G7+'Emissions Factors'!$C$35*('Calcs - Power'!$H7+'Calcs - Power'!$I7+'Calcs - Power'!$J7+'Calcs - Power'!$K7))</f>
        <v>507.96552838086438</v>
      </c>
      <c r="AB8" s="366">
        <f>(102*'Emissions Factors'!$C$36*'Calcs - Power'!$B7+'Emissions Factors'!$C$35*('Calcs - Power'!$C7+'Calcs - Power'!$D7+'Calcs - Power'!$E7+'Calcs - Power'!$F7))</f>
        <v>128.5549048084699</v>
      </c>
      <c r="AI8" s="358">
        <f t="shared" si="8"/>
        <v>0.5</v>
      </c>
      <c r="AJ8" s="359">
        <f>(('Methane Leakage'!$G$6/'Methane Leakage'!$G$5)*102*'Emissions Factors'!$D$10*'Calcs - Power'!$G7+'Emissions Factors'!$D$11*('Calcs - Power'!$H7+'Calcs - Power'!$I7+'Calcs - Power'!$J7+'Calcs - Power'!$K7))</f>
        <v>59.62132412920397</v>
      </c>
      <c r="AK8" s="366">
        <f>(('Methane Leakage'!$G$6/'Methane Leakage'!$G$5)*102*'Emissions Factors'!$D$10*'Calcs - Power'!$B7+'Emissions Factors'!$D$11*('Calcs - Power'!$C7+'Calcs - Power'!$D7+'Calcs - Power'!$E7+'Calcs - Power'!$F7))</f>
        <v>15.052438152278647</v>
      </c>
      <c r="AL8" s="359">
        <f>(102*'Emissions Factors'!$E$10*'Calcs - Power'!$G7+'Emissions Factors'!$E$11*('Calcs - Power'!H7+'Calcs - Power'!I7+'Calcs - Power'!J7+'Calcs - Power'!K7))</f>
        <v>46.688393691371047</v>
      </c>
      <c r="AM8" s="366">
        <f>(102*'Emissions Factors'!$E$10*'Calcs - Power'!$B7+'Emissions Factors'!$E$11*('Calcs - Power'!C7+'Calcs - Power'!D7+'Calcs - Power'!E7+'Calcs - Power'!F7))</f>
        <v>11.813339428274755</v>
      </c>
      <c r="AN8" s="359">
        <f>(102*'Emissions Factors'!$D$10*'Calcs - Power'!$G7+'Emissions Factors'!$D$11*('Calcs - Power'!$H7+'Calcs - Power'!$I7+'Calcs - Power'!$J7+'Calcs - Power'!$K7))</f>
        <v>59.62132412920397</v>
      </c>
      <c r="AO8" s="366">
        <f>(102*'Emissions Factors'!$D$10*'Calcs - Power'!$B7+'Emissions Factors'!$D$11*('Calcs - Power'!$C7+'Calcs - Power'!$D7+'Calcs - Power'!$E7+'Calcs - Power'!$F7))</f>
        <v>15.052438152278647</v>
      </c>
      <c r="AP8" s="367">
        <f>(102*'Emissions Factors'!$E$10*'Calcs - Power'!$G7+'Emissions Factors'!$E$11*('Calcs - Power'!H7+'Calcs - Power'!I7+'Calcs - Power'!J7+'Calcs - Power'!K7))</f>
        <v>46.688393691371047</v>
      </c>
      <c r="AQ8" s="366">
        <f>(102*'Emissions Factors'!$E$10*'Calcs - Power'!$B7+'Emissions Factors'!$E$11*('Calcs - Power'!C7+'Calcs - Power'!D7+'Calcs - Power'!E7+'Calcs - Power'!F7))</f>
        <v>11.813339428274755</v>
      </c>
      <c r="AS8" s="357"/>
      <c r="AT8" s="357"/>
      <c r="AU8" s="357"/>
      <c r="AV8" s="357"/>
      <c r="AX8" s="358">
        <f t="shared" si="9"/>
        <v>0.5</v>
      </c>
      <c r="AY8" s="359">
        <f>(('Methane Leakage'!$G$6/'Methane Leakage'!$G$5)*102*'Emissions Factors'!$F$10*'Calcs - Power'!$G7+'Emissions Factors'!$F$11*('Calcs - Power'!$H7+'Calcs - Power'!$I7+'Calcs - Power'!$J7+'Calcs - Power'!$K7))</f>
        <v>73460.12567015423</v>
      </c>
      <c r="AZ8" s="366">
        <f>(('Methane Leakage'!$G$6/'Methane Leakage'!$G$5)*102*'Emissions Factors'!$F$10*'Calcs - Power'!$B7+'Emissions Factors'!$F$11*('Calcs - Power'!$C7+'Calcs - Power'!$D7+'Calcs - Power'!$E7+'Calcs - Power'!$F7))</f>
        <v>18555.403039651195</v>
      </c>
      <c r="BA8" s="359">
        <f>(102*'Emissions Factors'!$G$10*'Calcs - Power'!$G7+'Emissions Factors'!$G$11*('Calcs - Power'!H7+'Calcs - Power'!I7+'Calcs - Power'!J7+'Calcs - Power'!K7))</f>
        <v>53038.657614967276</v>
      </c>
      <c r="BB8" s="366">
        <f>(102*'Emissions Factors'!$G$10*'Calcs - Power'!$B7+'Emissions Factors'!$G$11*('Calcs - Power'!C7+'Calcs - Power'!D7+'Calcs - Power'!E7+'Calcs - Power'!F7))</f>
        <v>13421.565377616867</v>
      </c>
      <c r="BC8" s="359">
        <f>(102*'Emissions Factors'!$F$10*'Calcs - Power'!$G7+'Emissions Factors'!$F$11*('Calcs - Power'!$H7+'Calcs - Power'!$I7+'Calcs - Power'!$J7+'Calcs - Power'!$K7))</f>
        <v>73460.12567015423</v>
      </c>
      <c r="BD8" s="366">
        <f>(102*'Emissions Factors'!$F$10*'Calcs - Power'!$B7+'Emissions Factors'!$F$11*('Calcs - Power'!$C7+'Calcs - Power'!$D7+'Calcs - Power'!$E7+'Calcs - Power'!$F7))</f>
        <v>18555.403039651195</v>
      </c>
      <c r="BE8" s="359">
        <f>(102*'Emissions Factors'!$G$10*'Calcs - Power'!$G7+'Emissions Factors'!$G$11*('Calcs - Power'!H7+'Calcs - Power'!I7+'Calcs - Power'!J7+'Calcs - Power'!K7))</f>
        <v>53038.657614967276</v>
      </c>
      <c r="BF8" s="366">
        <f>(102*'Emissions Factors'!$G$10*'Calcs - Power'!$B7+'Emissions Factors'!$G$11*('Calcs - Power'!C7+'Calcs - Power'!D7+'Calcs - Power'!E7+'Calcs - Power'!F7))</f>
        <v>13421.565377616867</v>
      </c>
    </row>
    <row r="9" spans="1:58" x14ac:dyDescent="0.3">
      <c r="A9" s="351">
        <f t="shared" si="6"/>
        <v>0.6</v>
      </c>
      <c r="B9" s="352">
        <f t="shared" si="0"/>
        <v>1</v>
      </c>
      <c r="C9" s="363">
        <f t="shared" si="1"/>
        <v>1</v>
      </c>
      <c r="D9" s="352">
        <f t="shared" si="2"/>
        <v>1</v>
      </c>
      <c r="E9" s="364">
        <f t="shared" si="3"/>
        <v>1</v>
      </c>
      <c r="F9" s="364">
        <f t="shared" si="4"/>
        <v>1</v>
      </c>
      <c r="G9" s="365">
        <f t="shared" si="5"/>
        <v>1</v>
      </c>
      <c r="P9" s="358">
        <f t="shared" si="7"/>
        <v>0.6</v>
      </c>
      <c r="Q9" s="359">
        <f>(('Methane Leakage'!$C$6/'Methane Leakage'!$C$5)*102*'Emissions Factors'!$C$38*'Calcs - Power'!$G8+'Emissions Factors'!$C$37*('Calcs - Power'!$H8+'Calcs - Power'!$I8+'Calcs - Power'!$J8+'Calcs - Power'!$K8))</f>
        <v>468.12878676459286</v>
      </c>
      <c r="R9" s="366">
        <f>(('Methane Leakage'!$C$6/'Methane Leakage'!$C$5)*102*'Emissions Factors'!$C$38*'Calcs - Power'!$B8+'Emissions Factors'!$C$37*('Calcs - Power'!$C8+'Calcs - Power'!$D8+'Calcs - Power'!$E8+'Calcs - Power'!$F8))</f>
        <v>142.14470843205848</v>
      </c>
      <c r="S9" s="359">
        <f>(('Methane Leakage'!$C$6/'Methane Leakage'!$C$5)*102*'Emissions Factors'!$D$38*'Calcs - Power'!$G8+'Emissions Factors'!$D$37*('Calcs - Power'!$H8+'Calcs - Power'!$I8+'Calcs - Power'!$J8+'Calcs - Power'!$K8))</f>
        <v>468.12878676459286</v>
      </c>
      <c r="T9" s="366">
        <f>(('Methane Leakage'!$C$6/'Methane Leakage'!$C$5)*102*'Emissions Factors'!$D$38*'Calcs - Power'!$B8+'Emissions Factors'!$D$37*('Calcs - Power'!$C8+'Calcs - Power'!$D8+'Calcs - Power'!$E8+'Calcs - Power'!$F8))</f>
        <v>142.14470843205848</v>
      </c>
      <c r="U9" s="361">
        <f>(102*'Emissions Factors'!$C$36*'Calcs - Power'!$G8+'Emissions Factors'!$C$35*('Calcs - Power'!$H8+'Calcs - Power'!$I8+'Calcs - Power'!$J8+'Calcs - Power'!$K8))</f>
        <v>605.4049295594823</v>
      </c>
      <c r="V9" s="366">
        <f>(102*'Emissions Factors'!$C$36*'Calcs - Power'!$B8+'Emissions Factors'!$C$35*('Calcs - Power'!$C8+'Calcs - Power'!$D8+'Calcs - Power'!$E8+'Calcs - Power'!$F8))</f>
        <v>184.23354452887608</v>
      </c>
      <c r="W9" s="359">
        <f>(102*'Emissions Factors'!$D$36*'Calcs - Power'!$G8+'Emissions Factors'!$D$35*('Calcs - Power'!$H8+'Calcs - Power'!$I8+'Calcs - Power'!$J8+'Calcs - Power'!$K8))</f>
        <v>605.4049295594823</v>
      </c>
      <c r="X9" s="366">
        <f>(102*'Emissions Factors'!$D$36*'Calcs - Power'!$B8+'Emissions Factors'!$D$35*('Calcs - Power'!$C8+'Calcs - Power'!$D8+'Calcs - Power'!$E8+'Calcs - Power'!$F8))</f>
        <v>184.23354452887608</v>
      </c>
      <c r="Y9" s="359">
        <f>(102*'Emissions Factors'!$C$38*'Calcs - Power'!$G8+'Emissions Factors'!$C$37*('Calcs - Power'!$H8+'Calcs - Power'!$I8+'Calcs - Power'!$J8+'Calcs - Power'!$K8))</f>
        <v>468.12878676459286</v>
      </c>
      <c r="Z9" s="366">
        <f>(102*'Emissions Factors'!$C$38*'Calcs - Power'!$B8+'Emissions Factors'!$C$37*('Calcs - Power'!$C8+'Calcs - Power'!$D8+'Calcs - Power'!$E8+'Calcs - Power'!$F8))</f>
        <v>142.14470843205848</v>
      </c>
      <c r="AA9" s="359">
        <f>(102*'Emissions Factors'!$C$36*'Calcs - Power'!$G8+'Emissions Factors'!$C$35*('Calcs - Power'!$H8+'Calcs - Power'!$I8+'Calcs - Power'!$J8+'Calcs - Power'!$K8))</f>
        <v>605.4049295594823</v>
      </c>
      <c r="AB9" s="366">
        <f>(102*'Emissions Factors'!$C$36*'Calcs - Power'!$B8+'Emissions Factors'!$C$35*('Calcs - Power'!$C8+'Calcs - Power'!$D8+'Calcs - Power'!$E8+'Calcs - Power'!$F8))</f>
        <v>184.23354452887608</v>
      </c>
      <c r="AI9" s="358">
        <f t="shared" si="8"/>
        <v>0.6</v>
      </c>
      <c r="AJ9" s="359">
        <f>(('Methane Leakage'!$G$6/'Methane Leakage'!$G$5)*102*'Emissions Factors'!$D$10*'Calcs - Power'!$G8+'Emissions Factors'!$D$11*('Calcs - Power'!$H8+'Calcs - Power'!$I8+'Calcs - Power'!$J8+'Calcs - Power'!$K8))</f>
        <v>71.145568955166397</v>
      </c>
      <c r="AK9" s="366">
        <f>(('Methane Leakage'!$G$6/'Methane Leakage'!$G$5)*102*'Emissions Factors'!$D$10*'Calcs - Power'!$B8+'Emissions Factors'!$D$11*('Calcs - Power'!$C8+'Calcs - Power'!$D8+'Calcs - Power'!$E8+'Calcs - Power'!$F8))</f>
        <v>21.591797387722011</v>
      </c>
      <c r="AL9" s="359">
        <f>(102*'Emissions Factors'!$E$10*'Calcs - Power'!$G8+'Emissions Factors'!$E$11*('Calcs - Power'!H8+'Calcs - Power'!I8+'Calcs - Power'!J8+'Calcs - Power'!K8))</f>
        <v>55.650223121429853</v>
      </c>
      <c r="AM9" s="366">
        <f>(102*'Emissions Factors'!$E$10*'Calcs - Power'!$B8+'Emissions Factors'!$E$11*('Calcs - Power'!C8+'Calcs - Power'!D8+'Calcs - Power'!E8+'Calcs - Power'!F8))</f>
        <v>16.931188422050251</v>
      </c>
      <c r="AN9" s="359">
        <f>(102*'Emissions Factors'!$D$10*'Calcs - Power'!$G8+'Emissions Factors'!$D$11*('Calcs - Power'!$H8+'Calcs - Power'!$I8+'Calcs - Power'!$J8+'Calcs - Power'!$K8))</f>
        <v>71.145568955166397</v>
      </c>
      <c r="AO9" s="366">
        <f>(102*'Emissions Factors'!$D$10*'Calcs - Power'!$B8+'Emissions Factors'!$D$11*('Calcs - Power'!$C8+'Calcs - Power'!$D8+'Calcs - Power'!$E8+'Calcs - Power'!$F8))</f>
        <v>21.591797387722011</v>
      </c>
      <c r="AP9" s="367">
        <f>(102*'Emissions Factors'!$E$10*'Calcs - Power'!$G8+'Emissions Factors'!$E$11*('Calcs - Power'!H8+'Calcs - Power'!I8+'Calcs - Power'!J8+'Calcs - Power'!K8))</f>
        <v>55.650223121429853</v>
      </c>
      <c r="AQ9" s="366">
        <f>(102*'Emissions Factors'!$E$10*'Calcs - Power'!$B8+'Emissions Factors'!$E$11*('Calcs - Power'!C8+'Calcs - Power'!D8+'Calcs - Power'!E8+'Calcs - Power'!F8))</f>
        <v>16.931188422050251</v>
      </c>
      <c r="AS9" s="357"/>
      <c r="AT9" s="357"/>
      <c r="AU9" s="357"/>
      <c r="AV9" s="357"/>
      <c r="AX9" s="358">
        <f t="shared" si="9"/>
        <v>0.6</v>
      </c>
      <c r="AY9" s="359">
        <f>(('Methane Leakage'!$G$6/'Methane Leakage'!$G$5)*102*'Emissions Factors'!$F$10*'Calcs - Power'!$G8+'Emissions Factors'!$F$11*('Calcs - Power'!$H8+'Calcs - Power'!$I8+'Calcs - Power'!$J8+'Calcs - Power'!$K8))</f>
        <v>87637.362070881427</v>
      </c>
      <c r="AZ9" s="366">
        <f>(('Methane Leakage'!$G$6/'Methane Leakage'!$G$5)*102*'Emissions Factors'!$F$10*'Calcs - Power'!$B8+'Emissions Factors'!$F$11*('Calcs - Power'!$C8+'Calcs - Power'!$D8+'Calcs - Power'!$E8+'Calcs - Power'!$F8))</f>
        <v>26611.570800568566</v>
      </c>
      <c r="BA9" s="359">
        <f>(102*'Emissions Factors'!$G$10*'Calcs - Power'!$G8+'Emissions Factors'!$G$11*('Calcs - Power'!H8+'Calcs - Power'!I8+'Calcs - Power'!J8+'Calcs - Power'!K8))</f>
        <v>63215.935665723904</v>
      </c>
      <c r="BB9" s="366">
        <f>(102*'Emissions Factors'!$G$10*'Calcs - Power'!$B8+'Emissions Factors'!$G$11*('Calcs - Power'!C8+'Calcs - Power'!D8+'Calcs - Power'!E8+'Calcs - Power'!F8))</f>
        <v>19235.344957030622</v>
      </c>
      <c r="BC9" s="359">
        <f>(102*'Emissions Factors'!$F$10*'Calcs - Power'!$G8+'Emissions Factors'!$F$11*('Calcs - Power'!$H8+'Calcs - Power'!$I8+'Calcs - Power'!$J8+'Calcs - Power'!$K8))</f>
        <v>87637.362070881427</v>
      </c>
      <c r="BD9" s="366">
        <f>(102*'Emissions Factors'!$F$10*'Calcs - Power'!$B8+'Emissions Factors'!$F$11*('Calcs - Power'!$C8+'Calcs - Power'!$D8+'Calcs - Power'!$E8+'Calcs - Power'!$F8))</f>
        <v>26611.570800568566</v>
      </c>
      <c r="BE9" s="359">
        <f>(102*'Emissions Factors'!$G$10*'Calcs - Power'!$G8+'Emissions Factors'!$G$11*('Calcs - Power'!H8+'Calcs - Power'!I8+'Calcs - Power'!J8+'Calcs - Power'!K8))</f>
        <v>63215.935665723904</v>
      </c>
      <c r="BF9" s="366">
        <f>(102*'Emissions Factors'!$G$10*'Calcs - Power'!$B8+'Emissions Factors'!$G$11*('Calcs - Power'!C8+'Calcs - Power'!D8+'Calcs - Power'!E8+'Calcs - Power'!F8))</f>
        <v>19235.344957030622</v>
      </c>
    </row>
    <row r="10" spans="1:58" x14ac:dyDescent="0.3">
      <c r="A10" s="351">
        <f t="shared" si="6"/>
        <v>0.7</v>
      </c>
      <c r="B10" s="352">
        <f t="shared" si="0"/>
        <v>1</v>
      </c>
      <c r="C10" s="363">
        <f t="shared" si="1"/>
        <v>0.99999999999999978</v>
      </c>
      <c r="D10" s="352">
        <f t="shared" si="2"/>
        <v>1</v>
      </c>
      <c r="E10" s="364">
        <f t="shared" si="3"/>
        <v>1</v>
      </c>
      <c r="F10" s="364">
        <f t="shared" si="4"/>
        <v>1</v>
      </c>
      <c r="G10" s="365">
        <f t="shared" si="5"/>
        <v>1</v>
      </c>
      <c r="P10" s="358">
        <f t="shared" si="7"/>
        <v>0.7</v>
      </c>
      <c r="Q10" s="359">
        <f>(('Methane Leakage'!$C$6/'Methane Leakage'!$C$5)*102*'Emissions Factors'!$C$38*'Calcs - Power'!$G9+'Emissions Factors'!$C$37*('Calcs - Power'!$H9+'Calcs - Power'!$I9+'Calcs - Power'!$J9+'Calcs - Power'!$K9))</f>
        <v>543.05854410064728</v>
      </c>
      <c r="R10" s="366">
        <f>(('Methane Leakage'!$C$6/'Methane Leakage'!$C$5)*102*'Emissions Factors'!$C$38*'Calcs - Power'!$B9+'Emissions Factors'!$C$37*('Calcs - Power'!$C9+'Calcs - Power'!$D9+'Calcs - Power'!$E9+'Calcs - Power'!$F9))</f>
        <v>192.71062962310097</v>
      </c>
      <c r="S10" s="359">
        <f>(('Methane Leakage'!$C$6/'Methane Leakage'!$C$5)*102*'Emissions Factors'!$D$38*'Calcs - Power'!$G9+'Emissions Factors'!$D$37*('Calcs - Power'!$H9+'Calcs - Power'!$I9+'Calcs - Power'!$J9+'Calcs - Power'!$K9))</f>
        <v>543.05854410064728</v>
      </c>
      <c r="T10" s="366">
        <f>(('Methane Leakage'!$C$6/'Methane Leakage'!$C$5)*102*'Emissions Factors'!$D$38*'Calcs - Power'!$B9+'Emissions Factors'!$D$37*('Calcs - Power'!$C9+'Calcs - Power'!$D9+'Calcs - Power'!$E9+'Calcs - Power'!$F9))</f>
        <v>192.71062962310097</v>
      </c>
      <c r="U10" s="361">
        <f>(102*'Emissions Factors'!$C$36*'Calcs - Power'!$G9+'Emissions Factors'!$C$35*('Calcs - Power'!$H9+'Calcs - Power'!$I9+'Calcs - Power'!$J9+'Calcs - Power'!$K9))</f>
        <v>701.67042198194144</v>
      </c>
      <c r="V10" s="366">
        <f>(102*'Emissions Factors'!$C$36*'Calcs - Power'!$B9+'Emissions Factors'!$C$35*('Calcs - Power'!$C9+'Calcs - Power'!$D9+'Calcs - Power'!$E9+'Calcs - Power'!$F9))</f>
        <v>249.59676773372667</v>
      </c>
      <c r="W10" s="359">
        <f>(102*'Emissions Factors'!$D$36*'Calcs - Power'!$G9+'Emissions Factors'!$D$35*('Calcs - Power'!$H9+'Calcs - Power'!$I9+'Calcs - Power'!$J9+'Calcs - Power'!$K9))</f>
        <v>701.67042198194144</v>
      </c>
      <c r="X10" s="366">
        <f>(102*'Emissions Factors'!$D$36*'Calcs - Power'!$B9+'Emissions Factors'!$D$35*('Calcs - Power'!$C9+'Calcs - Power'!$D9+'Calcs - Power'!$E9+'Calcs - Power'!$F9))</f>
        <v>249.59676773372667</v>
      </c>
      <c r="Y10" s="359">
        <f>(102*'Emissions Factors'!$C$38*'Calcs - Power'!$G9+'Emissions Factors'!$C$37*('Calcs - Power'!$H9+'Calcs - Power'!$I9+'Calcs - Power'!$J9+'Calcs - Power'!$K9))</f>
        <v>543.05854410064728</v>
      </c>
      <c r="Z10" s="366">
        <f>(102*'Emissions Factors'!$C$38*'Calcs - Power'!$B9+'Emissions Factors'!$C$37*('Calcs - Power'!$C9+'Calcs - Power'!$D9+'Calcs - Power'!$E9+'Calcs - Power'!$F9))</f>
        <v>192.71062962310097</v>
      </c>
      <c r="AA10" s="359">
        <f>(102*'Emissions Factors'!$C$36*'Calcs - Power'!$G9+'Emissions Factors'!$C$35*('Calcs - Power'!$H9+'Calcs - Power'!$I9+'Calcs - Power'!$J9+'Calcs - Power'!$K9))</f>
        <v>701.67042198194144</v>
      </c>
      <c r="AB10" s="366">
        <f>(102*'Emissions Factors'!$C$36*'Calcs - Power'!$B9+'Emissions Factors'!$C$35*('Calcs - Power'!$C9+'Calcs - Power'!$D9+'Calcs - Power'!$E9+'Calcs - Power'!$F9))</f>
        <v>249.59676773372667</v>
      </c>
      <c r="AI10" s="358">
        <f t="shared" si="8"/>
        <v>0.7</v>
      </c>
      <c r="AJ10" s="359">
        <f>(('Methane Leakage'!$G$6/'Methane Leakage'!$G$5)*102*'Emissions Factors'!$D$10*'Calcs - Power'!$G9+'Emissions Factors'!$D$11*('Calcs - Power'!$H9+'Calcs - Power'!$I9+'Calcs - Power'!$J9+'Calcs - Power'!$K9))</f>
        <v>82.550812753093254</v>
      </c>
      <c r="AK10" s="366">
        <f>(('Methane Leakage'!$G$6/'Methane Leakage'!$G$5)*102*'Emissions Factors'!$D$10*'Calcs - Power'!$B9+'Emissions Factors'!$D$11*('Calcs - Power'!$C9+'Calcs - Power'!$D9+'Calcs - Power'!$E9+'Calcs - Power'!$F9))</f>
        <v>29.277585713026603</v>
      </c>
      <c r="AL10" s="359">
        <f>(102*'Emissions Factors'!$E$10*'Calcs - Power'!$G9+'Emissions Factors'!$E$11*('Calcs - Power'!H9+'Calcs - Power'!I9+'Calcs - Power'!J9+'Calcs - Power'!K9))</f>
        <v>64.505428078832821</v>
      </c>
      <c r="AM10" s="366">
        <f>(102*'Emissions Factors'!$E$10*'Calcs - Power'!$B9+'Emissions Factors'!$E$11*('Calcs - Power'!C9+'Calcs - Power'!D9+'Calcs - Power'!E9+'Calcs - Power'!F9))</f>
        <v>22.939830548713175</v>
      </c>
      <c r="AN10" s="359">
        <f>(102*'Emissions Factors'!$D$10*'Calcs - Power'!$G9+'Emissions Factors'!$D$11*('Calcs - Power'!$H9+'Calcs - Power'!$I9+'Calcs - Power'!$J9+'Calcs - Power'!$K9))</f>
        <v>82.550812753093254</v>
      </c>
      <c r="AO10" s="366">
        <f>(102*'Emissions Factors'!$D$10*'Calcs - Power'!$B9+'Emissions Factors'!$D$11*('Calcs - Power'!$C9+'Calcs - Power'!$D9+'Calcs - Power'!$E9+'Calcs - Power'!$F9))</f>
        <v>29.277585713026603</v>
      </c>
      <c r="AP10" s="367">
        <f>(102*'Emissions Factors'!$E$10*'Calcs - Power'!$G9+'Emissions Factors'!$E$11*('Calcs - Power'!H9+'Calcs - Power'!I9+'Calcs - Power'!J9+'Calcs - Power'!K9))</f>
        <v>64.505428078832821</v>
      </c>
      <c r="AQ10" s="366">
        <f>(102*'Emissions Factors'!$E$10*'Calcs - Power'!$B9+'Emissions Factors'!$E$11*('Calcs - Power'!C9+'Calcs - Power'!D9+'Calcs - Power'!E9+'Calcs - Power'!F9))</f>
        <v>22.939830548713175</v>
      </c>
      <c r="AS10" s="357"/>
      <c r="AT10" s="357"/>
      <c r="AU10" s="357"/>
      <c r="AV10" s="357"/>
      <c r="AX10" s="358">
        <f t="shared" si="9"/>
        <v>0.7</v>
      </c>
      <c r="AY10" s="359">
        <f>(('Methane Leakage'!$G$6/'Methane Leakage'!$G$5)*102*'Emissions Factors'!$F$10*'Calcs - Power'!$G9+'Emissions Factors'!$F$11*('Calcs - Power'!$H9+'Calcs - Power'!$I9+'Calcs - Power'!$J9+'Calcs - Power'!$K9))</f>
        <v>101663.27104235561</v>
      </c>
      <c r="AZ10" s="366">
        <f>(('Methane Leakage'!$G$6/'Methane Leakage'!$G$5)*102*'Emissions Factors'!$F$10*'Calcs - Power'!$B9+'Emissions Factors'!$F$11*('Calcs - Power'!$C9+'Calcs - Power'!$D9+'Calcs - Power'!$E9+'Calcs - Power'!$F9))</f>
        <v>36077.83188295798</v>
      </c>
      <c r="BA10" s="359">
        <f>(102*'Emissions Factors'!$G$10*'Calcs - Power'!$G9+'Emissions Factors'!$G$11*('Calcs - Power'!H9+'Calcs - Power'!I9+'Calcs - Power'!J9+'Calcs - Power'!K9))</f>
        <v>73271.339138455704</v>
      </c>
      <c r="BB10" s="366">
        <f>(102*'Emissions Factors'!$G$10*'Calcs - Power'!$B9+'Emissions Factors'!$G$11*('Calcs - Power'!C9+'Calcs - Power'!D9+'Calcs - Power'!E9+'Calcs - Power'!F9))</f>
        <v>26060.690773226488</v>
      </c>
      <c r="BC10" s="359">
        <f>(102*'Emissions Factors'!$F$10*'Calcs - Power'!$G9+'Emissions Factors'!$F$11*('Calcs - Power'!$H9+'Calcs - Power'!$I9+'Calcs - Power'!$J9+'Calcs - Power'!$K9))</f>
        <v>101663.27104235561</v>
      </c>
      <c r="BD10" s="366">
        <f>(102*'Emissions Factors'!$F$10*'Calcs - Power'!$B9+'Emissions Factors'!$F$11*('Calcs - Power'!$C9+'Calcs - Power'!$D9+'Calcs - Power'!$E9+'Calcs - Power'!$F9))</f>
        <v>36077.83188295798</v>
      </c>
      <c r="BE10" s="359">
        <f>(102*'Emissions Factors'!$G$10*'Calcs - Power'!$G9+'Emissions Factors'!$G$11*('Calcs - Power'!H9+'Calcs - Power'!I9+'Calcs - Power'!J9+'Calcs - Power'!K9))</f>
        <v>73271.339138455704</v>
      </c>
      <c r="BF10" s="366">
        <f>(102*'Emissions Factors'!$G$10*'Calcs - Power'!$B9+'Emissions Factors'!$G$11*('Calcs - Power'!C9+'Calcs - Power'!D9+'Calcs - Power'!E9+'Calcs - Power'!F9))</f>
        <v>26060.690773226488</v>
      </c>
    </row>
    <row r="11" spans="1:58" x14ac:dyDescent="0.3">
      <c r="A11" s="351">
        <f t="shared" si="6"/>
        <v>0.79999999999999993</v>
      </c>
      <c r="B11" s="352">
        <f t="shared" si="0"/>
        <v>1</v>
      </c>
      <c r="C11" s="363">
        <f t="shared" si="1"/>
        <v>1</v>
      </c>
      <c r="D11" s="352">
        <f t="shared" si="2"/>
        <v>1</v>
      </c>
      <c r="E11" s="364">
        <f t="shared" si="3"/>
        <v>1</v>
      </c>
      <c r="F11" s="364">
        <f t="shared" si="4"/>
        <v>1</v>
      </c>
      <c r="G11" s="365">
        <f t="shared" si="5"/>
        <v>1</v>
      </c>
      <c r="P11" s="358">
        <f t="shared" si="7"/>
        <v>0.79999999999999993</v>
      </c>
      <c r="Q11" s="359">
        <f>(('Methane Leakage'!$C$6/'Methane Leakage'!$C$5)*102*'Emissions Factors'!$C$38*'Calcs - Power'!$G10+'Emissions Factors'!$C$37*('Calcs - Power'!$H10+'Calcs - Power'!$I10+'Calcs - Power'!$J10+'Calcs - Power'!$K10))</f>
        <v>617.22071900865399</v>
      </c>
      <c r="R11" s="366">
        <f>(('Methane Leakage'!$C$6/'Methane Leakage'!$C$5)*102*'Emissions Factors'!$C$38*'Calcs - Power'!$B10+'Emissions Factors'!$C$37*('Calcs - Power'!$C10+'Calcs - Power'!$D10+'Calcs - Power'!$E10+'Calcs - Power'!$F10))</f>
        <v>250.73083446461726</v>
      </c>
      <c r="S11" s="359">
        <f>(('Methane Leakage'!$C$6/'Methane Leakage'!$C$5)*102*'Emissions Factors'!$D$38*'Calcs - Power'!$G10+'Emissions Factors'!$D$37*('Calcs - Power'!$H10+'Calcs - Power'!$I10+'Calcs - Power'!$J10+'Calcs - Power'!$K10))</f>
        <v>617.22071900865399</v>
      </c>
      <c r="T11" s="366">
        <f>(('Methane Leakage'!$C$6/'Methane Leakage'!$C$5)*102*'Emissions Factors'!$D$38*'Calcs - Power'!$B10+'Emissions Factors'!$D$37*('Calcs - Power'!$C10+'Calcs - Power'!$D10+'Calcs - Power'!$E10+'Calcs - Power'!$F10))</f>
        <v>250.73083446461726</v>
      </c>
      <c r="U11" s="361">
        <f>(102*'Emissions Factors'!$C$36*'Calcs - Power'!$G10+'Emissions Factors'!$C$35*('Calcs - Power'!$H10+'Calcs - Power'!$I10+'Calcs - Power'!$J10+'Calcs - Power'!$K10))</f>
        <v>796.83816050171959</v>
      </c>
      <c r="V11" s="366">
        <f>(102*'Emissions Factors'!$C$36*'Calcs - Power'!$B10+'Emissions Factors'!$C$35*('Calcs - Power'!$C10+'Calcs - Power'!$D10+'Calcs - Power'!$E10+'Calcs - Power'!$F10))</f>
        <v>324.5310438445664</v>
      </c>
      <c r="W11" s="359">
        <f>(102*'Emissions Factors'!$D$36*'Calcs - Power'!$G10+'Emissions Factors'!$D$35*('Calcs - Power'!$H10+'Calcs - Power'!$I10+'Calcs - Power'!$J10+'Calcs - Power'!$K10))</f>
        <v>796.83816050171959</v>
      </c>
      <c r="X11" s="366">
        <f>(102*'Emissions Factors'!$D$36*'Calcs - Power'!$B10+'Emissions Factors'!$D$35*('Calcs - Power'!$C10+'Calcs - Power'!$D10+'Calcs - Power'!$E10+'Calcs - Power'!$F10))</f>
        <v>324.5310438445664</v>
      </c>
      <c r="Y11" s="359">
        <f>(102*'Emissions Factors'!$C$38*'Calcs - Power'!$G10+'Emissions Factors'!$C$37*('Calcs - Power'!$H10+'Calcs - Power'!$I10+'Calcs - Power'!$J10+'Calcs - Power'!$K10))</f>
        <v>617.22071900865399</v>
      </c>
      <c r="Z11" s="366">
        <f>(102*'Emissions Factors'!$C$38*'Calcs - Power'!$B10+'Emissions Factors'!$C$37*('Calcs - Power'!$C10+'Calcs - Power'!$D10+'Calcs - Power'!$E10+'Calcs - Power'!$F10))</f>
        <v>250.73083446461726</v>
      </c>
      <c r="AA11" s="359">
        <f>(102*'Emissions Factors'!$C$36*'Calcs - Power'!$G10+'Emissions Factors'!$C$35*('Calcs - Power'!$H10+'Calcs - Power'!$I10+'Calcs - Power'!$J10+'Calcs - Power'!$K10))</f>
        <v>796.83816050171959</v>
      </c>
      <c r="AB11" s="366">
        <f>(102*'Emissions Factors'!$C$36*'Calcs - Power'!$B10+'Emissions Factors'!$C$35*('Calcs - Power'!$C10+'Calcs - Power'!$D10+'Calcs - Power'!$E10+'Calcs - Power'!$F10))</f>
        <v>324.5310438445664</v>
      </c>
      <c r="AI11" s="358">
        <f t="shared" si="8"/>
        <v>0.79999999999999993</v>
      </c>
      <c r="AJ11" s="359">
        <f>(('Methane Leakage'!$G$6/'Methane Leakage'!$G$5)*102*'Emissions Factors'!$D$10*'Calcs - Power'!$G10+'Emissions Factors'!$D$11*('Calcs - Power'!$H10+'Calcs - Power'!$I10+'Calcs - Power'!$J10+'Calcs - Power'!$K10))</f>
        <v>93.842291010871719</v>
      </c>
      <c r="AK11" s="366">
        <f>(('Methane Leakage'!$G$6/'Methane Leakage'!$G$5)*102*'Emissions Factors'!$D$10*'Calcs - Power'!$B10+'Emissions Factors'!$D$11*('Calcs - Power'!$C10+'Calcs - Power'!$D10+'Calcs - Power'!$E10+'Calcs - Power'!$F10))</f>
        <v>38.098168186605186</v>
      </c>
      <c r="AL11" s="359">
        <f>(102*'Emissions Factors'!$E$10*'Calcs - Power'!$G10+'Emissions Factors'!$E$11*('Calcs - Power'!H10+'Calcs - Power'!I10+'Calcs - Power'!J10+'Calcs - Power'!K10))</f>
        <v>73.260757301478705</v>
      </c>
      <c r="AM11" s="366">
        <f>(102*'Emissions Factors'!$E$10*'Calcs - Power'!$B10+'Emissions Factors'!$E$11*('Calcs - Power'!C10+'Calcs - Power'!D10+'Calcs - Power'!E10+'Calcs - Power'!F10))</f>
        <v>29.828945439876513</v>
      </c>
      <c r="AN11" s="359">
        <f>(102*'Emissions Factors'!$D$10*'Calcs - Power'!$G10+'Emissions Factors'!$D$11*('Calcs - Power'!$H10+'Calcs - Power'!$I10+'Calcs - Power'!$J10+'Calcs - Power'!$K10))</f>
        <v>93.842291010871719</v>
      </c>
      <c r="AO11" s="366">
        <f>(102*'Emissions Factors'!$D$10*'Calcs - Power'!$B10+'Emissions Factors'!$D$11*('Calcs - Power'!$C10+'Calcs - Power'!$D10+'Calcs - Power'!$E10+'Calcs - Power'!$F10))</f>
        <v>38.098168186605186</v>
      </c>
      <c r="AP11" s="367">
        <f>(102*'Emissions Factors'!$E$10*'Calcs - Power'!$G10+'Emissions Factors'!$E$11*('Calcs - Power'!H10+'Calcs - Power'!I10+'Calcs - Power'!J10+'Calcs - Power'!K10))</f>
        <v>73.260757301478705</v>
      </c>
      <c r="AQ11" s="366">
        <f>(102*'Emissions Factors'!$E$10*'Calcs - Power'!$B10+'Emissions Factors'!$E$11*('Calcs - Power'!C10+'Calcs - Power'!D10+'Calcs - Power'!E10+'Calcs - Power'!F10))</f>
        <v>29.828945439876513</v>
      </c>
      <c r="AS11" s="357"/>
      <c r="AT11" s="357"/>
      <c r="AU11" s="357"/>
      <c r="AV11" s="357"/>
      <c r="AX11" s="358">
        <f t="shared" si="9"/>
        <v>0.79999999999999993</v>
      </c>
      <c r="AY11" s="359">
        <f>(('Methane Leakage'!$G$6/'Methane Leakage'!$G$5)*102*'Emissions Factors'!$F$10*'Calcs - Power'!$G10+'Emissions Factors'!$F$11*('Calcs - Power'!$H10+'Calcs - Power'!$I10+'Calcs - Power'!$J10+'Calcs - Power'!$K10))</f>
        <v>115545.23080029649</v>
      </c>
      <c r="AZ11" s="366">
        <f>(('Methane Leakage'!$G$6/'Methane Leakage'!$G$5)*102*'Emissions Factors'!$F$10*'Calcs - Power'!$B10+'Emissions Factors'!$F$11*('Calcs - Power'!$C10+'Calcs - Power'!$D10+'Calcs - Power'!$E10+'Calcs - Power'!$F10))</f>
        <v>46939.427324352582</v>
      </c>
      <c r="BA11" s="359">
        <f>(102*'Emissions Factors'!$G$10*'Calcs - Power'!$G10+'Emissions Factors'!$G$11*('Calcs - Power'!H10+'Calcs - Power'!I10+'Calcs - Power'!J10+'Calcs - Power'!K10))</f>
        <v>83212.682094252305</v>
      </c>
      <c r="BB11" s="366">
        <f>(102*'Emissions Factors'!$G$10*'Calcs - Power'!$B10+'Emissions Factors'!$G$11*('Calcs - Power'!C10+'Calcs - Power'!D10+'Calcs - Power'!E10+'Calcs - Power'!F10))</f>
        <v>33885.81145553958</v>
      </c>
      <c r="BC11" s="359">
        <f>(102*'Emissions Factors'!$F$10*'Calcs - Power'!$G10+'Emissions Factors'!$F$11*('Calcs - Power'!$H10+'Calcs - Power'!$I10+'Calcs - Power'!$J10+'Calcs - Power'!$K10))</f>
        <v>115545.23080029649</v>
      </c>
      <c r="BD11" s="366">
        <f>(102*'Emissions Factors'!$F$10*'Calcs - Power'!$B10+'Emissions Factors'!$F$11*('Calcs - Power'!$C10+'Calcs - Power'!$D10+'Calcs - Power'!$E10+'Calcs - Power'!$F10))</f>
        <v>46939.427324352582</v>
      </c>
      <c r="BE11" s="359">
        <f>(102*'Emissions Factors'!$G$10*'Calcs - Power'!$G10+'Emissions Factors'!$G$11*('Calcs - Power'!H10+'Calcs - Power'!I10+'Calcs - Power'!J10+'Calcs - Power'!K10))</f>
        <v>83212.682094252305</v>
      </c>
      <c r="BF11" s="366">
        <f>(102*'Emissions Factors'!$G$10*'Calcs - Power'!$B10+'Emissions Factors'!$G$11*('Calcs - Power'!C10+'Calcs - Power'!D10+'Calcs - Power'!E10+'Calcs - Power'!F10))</f>
        <v>33885.81145553958</v>
      </c>
    </row>
    <row r="12" spans="1:58" x14ac:dyDescent="0.3">
      <c r="A12" s="351">
        <f t="shared" si="6"/>
        <v>0.89999999999999991</v>
      </c>
      <c r="B12" s="352">
        <f t="shared" si="0"/>
        <v>0.99999999999999978</v>
      </c>
      <c r="C12" s="363">
        <f t="shared" si="1"/>
        <v>1</v>
      </c>
      <c r="D12" s="352">
        <f t="shared" si="2"/>
        <v>1</v>
      </c>
      <c r="E12" s="364">
        <f t="shared" si="3"/>
        <v>1</v>
      </c>
      <c r="F12" s="364">
        <f t="shared" si="4"/>
        <v>1</v>
      </c>
      <c r="G12" s="365">
        <f t="shared" si="5"/>
        <v>1</v>
      </c>
      <c r="P12" s="358">
        <f t="shared" si="7"/>
        <v>0.89999999999999991</v>
      </c>
      <c r="Q12" s="359">
        <f>(('Methane Leakage'!$C$6/'Methane Leakage'!$C$5)*102*'Emissions Factors'!$C$38*'Calcs - Power'!$G11+'Emissions Factors'!$C$37*('Calcs - Power'!$H11+'Calcs - Power'!$I11+'Calcs - Power'!$J11+'Calcs - Power'!$K11))</f>
        <v>690.65142931236846</v>
      </c>
      <c r="R12" s="366">
        <f>(('Methane Leakage'!$C$6/'Methane Leakage'!$C$5)*102*'Emissions Factors'!$C$38*'Calcs - Power'!$B11+'Emissions Factors'!$C$37*('Calcs - Power'!$C11+'Calcs - Power'!$D11+'Calcs - Power'!$E11+'Calcs - Power'!$F11))</f>
        <v>316.13039429978221</v>
      </c>
      <c r="S12" s="359">
        <f>(('Methane Leakage'!$C$6/'Methane Leakage'!$C$5)*102*'Emissions Factors'!$D$38*'Calcs - Power'!$G11+'Emissions Factors'!$D$37*('Calcs - Power'!$H11+'Calcs - Power'!$I11+'Calcs - Power'!$J11+'Calcs - Power'!$K11))</f>
        <v>690.65142931236846</v>
      </c>
      <c r="T12" s="366">
        <f>(('Methane Leakage'!$C$6/'Methane Leakage'!$C$5)*102*'Emissions Factors'!$D$38*'Calcs - Power'!$B11+'Emissions Factors'!$D$37*('Calcs - Power'!$C11+'Calcs - Power'!$D11+'Calcs - Power'!$E11+'Calcs - Power'!$F11))</f>
        <v>316.13039429978221</v>
      </c>
      <c r="U12" s="361">
        <f>(102*'Emissions Factors'!$C$36*'Calcs - Power'!$G11+'Emissions Factors'!$C$35*('Calcs - Power'!$H11+'Calcs - Power'!$I11+'Calcs - Power'!$J11+'Calcs - Power'!$K11))</f>
        <v>890.97825087605395</v>
      </c>
      <c r="V12" s="366">
        <f>(102*'Emissions Factors'!$C$36*'Calcs - Power'!$B11+'Emissions Factors'!$C$35*('Calcs - Power'!$C11+'Calcs - Power'!$D11+'Calcs - Power'!$E11+'Calcs - Power'!$F11))</f>
        <v>408.93015106902448</v>
      </c>
      <c r="W12" s="359">
        <f>(102*'Emissions Factors'!$D$36*'Calcs - Power'!$G11+'Emissions Factors'!$D$35*('Calcs - Power'!$H11+'Calcs - Power'!$I11+'Calcs - Power'!$J11+'Calcs - Power'!$K11))</f>
        <v>890.97825087605395</v>
      </c>
      <c r="X12" s="366">
        <f>(102*'Emissions Factors'!$D$36*'Calcs - Power'!$B11+'Emissions Factors'!$D$35*('Calcs - Power'!$C11+'Calcs - Power'!$D11+'Calcs - Power'!$E11+'Calcs - Power'!$F11))</f>
        <v>408.93015106902448</v>
      </c>
      <c r="Y12" s="359">
        <f>(102*'Emissions Factors'!$C$38*'Calcs - Power'!$G11+'Emissions Factors'!$C$37*('Calcs - Power'!$H11+'Calcs - Power'!$I11+'Calcs - Power'!$J11+'Calcs - Power'!$K11))</f>
        <v>690.65142931236846</v>
      </c>
      <c r="Z12" s="366">
        <f>(102*'Emissions Factors'!$C$38*'Calcs - Power'!$B11+'Emissions Factors'!$C$37*('Calcs - Power'!$C11+'Calcs - Power'!$D11+'Calcs - Power'!$E11+'Calcs - Power'!$F11))</f>
        <v>316.13039429978221</v>
      </c>
      <c r="AA12" s="359">
        <f>(102*'Emissions Factors'!$C$36*'Calcs - Power'!$G11+'Emissions Factors'!$C$35*('Calcs - Power'!$H11+'Calcs - Power'!$I11+'Calcs - Power'!$J11+'Calcs - Power'!$K11))</f>
        <v>890.97825087605395</v>
      </c>
      <c r="AB12" s="366">
        <f>(102*'Emissions Factors'!$C$36*'Calcs - Power'!$B11+'Emissions Factors'!$C$35*('Calcs - Power'!$C11+'Calcs - Power'!$D11+'Calcs - Power'!$E11+'Calcs - Power'!$F11))</f>
        <v>408.93015106902448</v>
      </c>
      <c r="AI12" s="358">
        <f t="shared" si="8"/>
        <v>0.89999999999999991</v>
      </c>
      <c r="AJ12" s="359">
        <f>(('Methane Leakage'!$G$6/'Methane Leakage'!$G$5)*102*'Emissions Factors'!$D$10*'Calcs - Power'!$G11+'Emissions Factors'!$D$11*('Calcs - Power'!$H11+'Calcs - Power'!$I11+'Calcs - Power'!$J11+'Calcs - Power'!$K11))</f>
        <v>105.02484927705268</v>
      </c>
      <c r="AK12" s="366">
        <f>(('Methane Leakage'!$G$6/'Methane Leakage'!$G$5)*102*'Emissions Factors'!$D$10*'Calcs - Power'!$B11+'Emissions Factors'!$D$11*('Calcs - Power'!$C11+'Calcs - Power'!$D11+'Calcs - Power'!$E11+'Calcs - Power'!$F11))</f>
        <v>48.042413646995314</v>
      </c>
      <c r="AL12" s="359">
        <f>(102*'Emissions Factors'!$E$10*'Calcs - Power'!$G11+'Emissions Factors'!$E$11*('Calcs - Power'!H11+'Calcs - Power'!I11+'Calcs - Power'!J11+'Calcs - Power'!K11))</f>
        <v>81.922425220800704</v>
      </c>
      <c r="AM12" s="366">
        <f>(102*'Emissions Factors'!$E$10*'Calcs - Power'!$B11+'Emissions Factors'!$E$11*('Calcs - Power'!C11+'Calcs - Power'!D11+'Calcs - Power'!E11+'Calcs - Power'!F11))</f>
        <v>37.588860510844071</v>
      </c>
      <c r="AN12" s="359">
        <f>(102*'Emissions Factors'!$D$10*'Calcs - Power'!$G11+'Emissions Factors'!$D$11*('Calcs - Power'!$H11+'Calcs - Power'!$I11+'Calcs - Power'!$J11+'Calcs - Power'!$K11))</f>
        <v>105.02484927705268</v>
      </c>
      <c r="AO12" s="366">
        <f>(102*'Emissions Factors'!$D$10*'Calcs - Power'!$B11+'Emissions Factors'!$D$11*('Calcs - Power'!$C11+'Calcs - Power'!$D11+'Calcs - Power'!$E11+'Calcs - Power'!$F11))</f>
        <v>48.042413646995314</v>
      </c>
      <c r="AP12" s="367">
        <f>(102*'Emissions Factors'!$E$10*'Calcs - Power'!$G11+'Emissions Factors'!$E$11*('Calcs - Power'!H11+'Calcs - Power'!I11+'Calcs - Power'!J11+'Calcs - Power'!K11))</f>
        <v>81.922425220800704</v>
      </c>
      <c r="AQ12" s="366">
        <f>(102*'Emissions Factors'!$E$10*'Calcs - Power'!$B11+'Emissions Factors'!$E$11*('Calcs - Power'!C11+'Calcs - Power'!D11+'Calcs - Power'!E11+'Calcs - Power'!F11))</f>
        <v>37.588860510844071</v>
      </c>
      <c r="AS12" s="357"/>
      <c r="AT12" s="357"/>
      <c r="AU12" s="357"/>
      <c r="AV12" s="357"/>
      <c r="AX12" s="358">
        <f t="shared" si="9"/>
        <v>0.89999999999999991</v>
      </c>
      <c r="AY12" s="359">
        <f>(('Methane Leakage'!$G$6/'Methane Leakage'!$G$5)*102*'Emissions Factors'!$F$10*'Calcs - Power'!$G11+'Emissions Factors'!$F$11*('Calcs - Power'!$H11+'Calcs - Power'!$I11+'Calcs - Power'!$J11+'Calcs - Power'!$K11))</f>
        <v>129290.05894492599</v>
      </c>
      <c r="AZ12" s="366">
        <f>(('Methane Leakage'!$G$6/'Methane Leakage'!$G$5)*102*'Emissions Factors'!$F$10*'Calcs - Power'!$B11+'Emissions Factors'!$F$11*('Calcs - Power'!$C11+'Calcs - Power'!$D11+'Calcs - Power'!$E11+'Calcs - Power'!$F11))</f>
        <v>59182.307561592621</v>
      </c>
      <c r="BA12" s="359">
        <f>(102*'Emissions Factors'!$G$10*'Calcs - Power'!$G11+'Emissions Factors'!$G$11*('Calcs - Power'!H11+'Calcs - Power'!I11+'Calcs - Power'!J11+'Calcs - Power'!K11))</f>
        <v>93047.15887443618</v>
      </c>
      <c r="BB12" s="366">
        <f>(102*'Emissions Factors'!$G$10*'Calcs - Power'!$B11+'Emissions Factors'!$G$11*('Calcs - Power'!C11+'Calcs - Power'!D11+'Calcs - Power'!E11+'Calcs - Power'!F11))</f>
        <v>42699.665618659688</v>
      </c>
      <c r="BC12" s="359">
        <f>(102*'Emissions Factors'!$F$10*'Calcs - Power'!$G11+'Emissions Factors'!$F$11*('Calcs - Power'!$H11+'Calcs - Power'!$I11+'Calcs - Power'!$J11+'Calcs - Power'!$K11))</f>
        <v>129290.05894492599</v>
      </c>
      <c r="BD12" s="366">
        <f>(102*'Emissions Factors'!$F$10*'Calcs - Power'!$B11+'Emissions Factors'!$F$11*('Calcs - Power'!$C11+'Calcs - Power'!$D11+'Calcs - Power'!$E11+'Calcs - Power'!$F11))</f>
        <v>59182.307561592621</v>
      </c>
      <c r="BE12" s="359">
        <f>(102*'Emissions Factors'!$G$10*'Calcs - Power'!$G11+'Emissions Factors'!$G$11*('Calcs - Power'!H11+'Calcs - Power'!I11+'Calcs - Power'!J11+'Calcs - Power'!K11))</f>
        <v>93047.15887443618</v>
      </c>
      <c r="BF12" s="366">
        <f>(102*'Emissions Factors'!$G$10*'Calcs - Power'!$B11+'Emissions Factors'!$G$11*('Calcs - Power'!C11+'Calcs - Power'!D11+'Calcs - Power'!E11+'Calcs - Power'!F11))</f>
        <v>42699.665618659688</v>
      </c>
    </row>
    <row r="13" spans="1:58" x14ac:dyDescent="0.3">
      <c r="A13" s="351">
        <f t="shared" si="6"/>
        <v>0.99999999999999989</v>
      </c>
      <c r="B13" s="352">
        <f t="shared" si="0"/>
        <v>1</v>
      </c>
      <c r="C13" s="363">
        <f t="shared" si="1"/>
        <v>0.99999999999999978</v>
      </c>
      <c r="D13" s="352">
        <f t="shared" si="2"/>
        <v>1</v>
      </c>
      <c r="E13" s="364">
        <f t="shared" si="3"/>
        <v>1</v>
      </c>
      <c r="F13" s="364">
        <f t="shared" si="4"/>
        <v>1</v>
      </c>
      <c r="G13" s="365">
        <f t="shared" si="5"/>
        <v>1</v>
      </c>
      <c r="P13" s="358">
        <f t="shared" si="7"/>
        <v>0.99999999999999989</v>
      </c>
      <c r="Q13" s="359">
        <f>(('Methane Leakage'!$C$6/'Methane Leakage'!$C$5)*102*'Emissions Factors'!$C$38*'Calcs - Power'!$G12+'Emissions Factors'!$C$37*('Calcs - Power'!$H12+'Calcs - Power'!$I12+'Calcs - Power'!$J12+'Calcs - Power'!$K12))</f>
        <v>763.38406489066256</v>
      </c>
      <c r="R13" s="366">
        <f>(('Methane Leakage'!$C$6/'Methane Leakage'!$C$5)*102*'Emissions Factors'!$C$38*'Calcs - Power'!$B12+'Emissions Factors'!$C$37*('Calcs - Power'!$C12+'Calcs - Power'!$D12+'Calcs - Power'!$E12+'Calcs - Power'!$F12))</f>
        <v>388.83785395455732</v>
      </c>
      <c r="S13" s="359">
        <f>(('Methane Leakage'!$C$6/'Methane Leakage'!$C$5)*102*'Emissions Factors'!$D$38*'Calcs - Power'!$G12+'Emissions Factors'!$D$37*('Calcs - Power'!$H12+'Calcs - Power'!$I12+'Calcs - Power'!$J12+'Calcs - Power'!$K12))</f>
        <v>763.38406489066256</v>
      </c>
      <c r="T13" s="366">
        <f>(('Methane Leakage'!$C$6/'Methane Leakage'!$C$5)*102*'Emissions Factors'!$D$38*'Calcs - Power'!$B12+'Emissions Factors'!$D$37*('Calcs - Power'!$C12+'Calcs - Power'!$D12+'Calcs - Power'!$E12+'Calcs - Power'!$F12))</f>
        <v>388.83785395455732</v>
      </c>
      <c r="U13" s="361">
        <f>(102*'Emissions Factors'!$C$36*'Calcs - Power'!$G12+'Emissions Factors'!$C$35*('Calcs - Power'!$H12+'Calcs - Power'!$I12+'Calcs - Power'!$J12+'Calcs - Power'!$K12))</f>
        <v>984.15523820358874</v>
      </c>
      <c r="V13" s="366">
        <f>(102*'Emissions Factors'!$C$36*'Calcs - Power'!$B12+'Emissions Factors'!$C$35*('Calcs - Power'!$C12+'Calcs - Power'!$D12+'Calcs - Power'!$E12+'Calcs - Power'!$F12))</f>
        <v>502.69459625914919</v>
      </c>
      <c r="W13" s="359">
        <f>(102*'Emissions Factors'!$D$36*'Calcs - Power'!$G12+'Emissions Factors'!$D$35*('Calcs - Power'!$H12+'Calcs - Power'!$I12+'Calcs - Power'!$J12+'Calcs - Power'!$K12))</f>
        <v>984.15523820358874</v>
      </c>
      <c r="X13" s="366">
        <f>(102*'Emissions Factors'!$D$36*'Calcs - Power'!$B12+'Emissions Factors'!$D$35*('Calcs - Power'!$C12+'Calcs - Power'!$D12+'Calcs - Power'!$E12+'Calcs - Power'!$F12))</f>
        <v>502.69459625914919</v>
      </c>
      <c r="Y13" s="359">
        <f>(102*'Emissions Factors'!$C$38*'Calcs - Power'!$G12+'Emissions Factors'!$C$37*('Calcs - Power'!$H12+'Calcs - Power'!$I12+'Calcs - Power'!$J12+'Calcs - Power'!$K12))</f>
        <v>763.38406489066256</v>
      </c>
      <c r="Z13" s="366">
        <f>(102*'Emissions Factors'!$C$38*'Calcs - Power'!$B12+'Emissions Factors'!$C$37*('Calcs - Power'!$C12+'Calcs - Power'!$D12+'Calcs - Power'!$E12+'Calcs - Power'!$F12))</f>
        <v>388.83785395455732</v>
      </c>
      <c r="AA13" s="359">
        <f>(102*'Emissions Factors'!$C$36*'Calcs - Power'!$G12+'Emissions Factors'!$C$35*('Calcs - Power'!$H12+'Calcs - Power'!$I12+'Calcs - Power'!$J12+'Calcs - Power'!$K12))</f>
        <v>984.15523820358874</v>
      </c>
      <c r="AB13" s="366">
        <f>(102*'Emissions Factors'!$C$36*'Calcs - Power'!$B12+'Emissions Factors'!$C$35*('Calcs - Power'!$C12+'Calcs - Power'!$D12+'Calcs - Power'!$E12+'Calcs - Power'!$F12))</f>
        <v>502.69459625914919</v>
      </c>
      <c r="AI13" s="358">
        <f t="shared" si="8"/>
        <v>0.99999999999999989</v>
      </c>
      <c r="AJ13" s="359">
        <f>(('Methane Leakage'!$G$6/'Methane Leakage'!$G$5)*102*'Emissions Factors'!$D$10*'Calcs - Power'!$G12+'Emissions Factors'!$D$11*('Calcs - Power'!$H12+'Calcs - Power'!$I12+'Calcs - Power'!$J12+'Calcs - Power'!$K12))</f>
        <v>116.10297442761404</v>
      </c>
      <c r="AK13" s="366">
        <f>(('Methane Leakage'!$G$6/'Methane Leakage'!$G$5)*102*'Emissions Factors'!$D$10*'Calcs - Power'!$B12+'Emissions Factors'!$D$11*('Calcs - Power'!$C12+'Calcs - Power'!$D12+'Calcs - Power'!$E12+'Calcs - Power'!$F12))</f>
        <v>59.099657304406406</v>
      </c>
      <c r="AL13" s="359">
        <f>(102*'Emissions Factors'!$E$10*'Calcs - Power'!$G12+'Emissions Factors'!$E$11*('Calcs - Power'!H12+'Calcs - Power'!I12+'Calcs - Power'!J12+'Calcs - Power'!K12))</f>
        <v>90.496155089797327</v>
      </c>
      <c r="AM13" s="366">
        <f>(102*'Emissions Factors'!$E$10*'Calcs - Power'!$B12+'Emissions Factors'!$E$11*('Calcs - Power'!C12+'Calcs - Power'!D12+'Calcs - Power'!E12+'Calcs - Power'!F12))</f>
        <v>46.210499716922456</v>
      </c>
      <c r="AN13" s="359">
        <f>(102*'Emissions Factors'!$D$10*'Calcs - Power'!$G12+'Emissions Factors'!$D$11*('Calcs - Power'!$H12+'Calcs - Power'!$I12+'Calcs - Power'!$J12+'Calcs - Power'!$K12))</f>
        <v>116.10297442761404</v>
      </c>
      <c r="AO13" s="366">
        <f>(102*'Emissions Factors'!$D$10*'Calcs - Power'!$B12+'Emissions Factors'!$D$11*('Calcs - Power'!$C12+'Calcs - Power'!$D12+'Calcs - Power'!$E12+'Calcs - Power'!$F12))</f>
        <v>59.099657304406406</v>
      </c>
      <c r="AP13" s="367">
        <f>(102*'Emissions Factors'!$E$10*'Calcs - Power'!$G12+'Emissions Factors'!$E$11*('Calcs - Power'!H12+'Calcs - Power'!I12+'Calcs - Power'!J12+'Calcs - Power'!K12))</f>
        <v>90.496155089797327</v>
      </c>
      <c r="AQ13" s="366">
        <f>(102*'Emissions Factors'!$E$10*'Calcs - Power'!$B12+'Emissions Factors'!$E$11*('Calcs - Power'!C12+'Calcs - Power'!D12+'Calcs - Power'!E12+'Calcs - Power'!F12))</f>
        <v>46.210499716922456</v>
      </c>
      <c r="AS13" s="357"/>
      <c r="AT13" s="357"/>
      <c r="AU13" s="357"/>
      <c r="AV13" s="357"/>
      <c r="AX13" s="358">
        <f t="shared" si="9"/>
        <v>0.99999999999999989</v>
      </c>
      <c r="AY13" s="359">
        <f>(('Methane Leakage'!$G$6/'Methane Leakage'!$G$5)*102*'Emissions Factors'!$F$10*'Calcs - Power'!$G12+'Emissions Factors'!$F$11*('Calcs - Power'!$H12+'Calcs - Power'!$I12+'Calcs - Power'!$J12+'Calcs - Power'!$K12))</f>
        <v>142904.05751309672</v>
      </c>
      <c r="AZ13" s="366">
        <f>(('Methane Leakage'!$G$6/'Methane Leakage'!$G$5)*102*'Emissions Factors'!$F$10*'Calcs - Power'!$B12+'Emissions Factors'!$F$11*('Calcs - Power'!$C12+'Calcs - Power'!$D12+'Calcs - Power'!$E12+'Calcs - Power'!$F12))</f>
        <v>72793.078653792152</v>
      </c>
      <c r="BA13" s="359">
        <f>(102*'Emissions Factors'!$G$10*'Calcs - Power'!$G12+'Emissions Factors'!$G$11*('Calcs - Power'!H12+'Calcs - Power'!I12+'Calcs - Power'!J12+'Calcs - Power'!K12))</f>
        <v>102781.39413204104</v>
      </c>
      <c r="BB13" s="366">
        <f>(102*'Emissions Factors'!$G$10*'Calcs - Power'!$B12+'Emissions Factors'!$G$11*('Calcs - Power'!C12+'Calcs - Power'!D12+'Calcs - Power'!E12+'Calcs - Power'!F12))</f>
        <v>52491.902427677203</v>
      </c>
      <c r="BC13" s="359">
        <f>(102*'Emissions Factors'!$F$10*'Calcs - Power'!$G12+'Emissions Factors'!$F$11*('Calcs - Power'!$H12+'Calcs - Power'!$I12+'Calcs - Power'!$J12+'Calcs - Power'!$K12))</f>
        <v>142904.05751309672</v>
      </c>
      <c r="BD13" s="366">
        <f>(102*'Emissions Factors'!$F$10*'Calcs - Power'!$B12+'Emissions Factors'!$F$11*('Calcs - Power'!$C12+'Calcs - Power'!$D12+'Calcs - Power'!$E12+'Calcs - Power'!$F12))</f>
        <v>72793.078653792152</v>
      </c>
      <c r="BE13" s="359">
        <f>(102*'Emissions Factors'!$G$10*'Calcs - Power'!$G12+'Emissions Factors'!$G$11*('Calcs - Power'!H12+'Calcs - Power'!I12+'Calcs - Power'!J12+'Calcs - Power'!K12))</f>
        <v>102781.39413204104</v>
      </c>
      <c r="BF13" s="366">
        <f>(102*'Emissions Factors'!$G$10*'Calcs - Power'!$B12+'Emissions Factors'!$G$11*('Calcs - Power'!C12+'Calcs - Power'!D12+'Calcs - Power'!E12+'Calcs - Power'!F12))</f>
        <v>52491.902427677203</v>
      </c>
    </row>
    <row r="14" spans="1:58" x14ac:dyDescent="0.3">
      <c r="A14" s="351">
        <f>A13+1</f>
        <v>2</v>
      </c>
      <c r="B14" s="352">
        <f t="shared" si="0"/>
        <v>1</v>
      </c>
      <c r="C14" s="363">
        <f t="shared" si="1"/>
        <v>1</v>
      </c>
      <c r="D14" s="352">
        <f t="shared" si="2"/>
        <v>1</v>
      </c>
      <c r="E14" s="364">
        <f t="shared" si="3"/>
        <v>1</v>
      </c>
      <c r="F14" s="364">
        <f t="shared" si="4"/>
        <v>1</v>
      </c>
      <c r="G14" s="365">
        <f t="shared" si="5"/>
        <v>1</v>
      </c>
      <c r="P14" s="358">
        <f>P13+1</f>
        <v>2</v>
      </c>
      <c r="Q14" s="359">
        <f>(('Methane Leakage'!$C$6/'Methane Leakage'!$C$5)*102*'Emissions Factors'!$C$38*'Calcs - Power'!$G13+'Emissions Factors'!$C$37*('Calcs - Power'!$H13+'Calcs - Power'!$I13+'Calcs - Power'!$J13+'Calcs - Power'!$K13))</f>
        <v>1458.101633015825</v>
      </c>
      <c r="R14" s="366">
        <f>(('Methane Leakage'!$C$6/'Methane Leakage'!$C$5)*102*'Emissions Factors'!$C$38*'Calcs - Power'!$B13+'Emissions Factors'!$C$37*('Calcs - Power'!$C13+'Calcs - Power'!$D13+'Calcs - Power'!$E13+'Calcs - Power'!$F13))</f>
        <v>1504.1441054946285</v>
      </c>
      <c r="S14" s="359">
        <f>(('Methane Leakage'!$C$6/'Methane Leakage'!$C$5)*102*'Emissions Factors'!$D$38*'Calcs - Power'!$G13+'Emissions Factors'!$D$37*('Calcs - Power'!$H13+'Calcs - Power'!$I13+'Calcs - Power'!$J13+'Calcs - Power'!$K13))</f>
        <v>1458.101633015825</v>
      </c>
      <c r="T14" s="366">
        <f>(('Methane Leakage'!$C$6/'Methane Leakage'!$C$5)*102*'Emissions Factors'!$D$38*'Calcs - Power'!$B13+'Emissions Factors'!$D$37*('Calcs - Power'!$C13+'Calcs - Power'!$D13+'Calcs - Power'!$E13+'Calcs - Power'!$F13))</f>
        <v>1504.1441054946285</v>
      </c>
      <c r="U14" s="361">
        <f>(102*'Emissions Factors'!$C$36*'Calcs - Power'!$G13+'Emissions Factors'!$C$35*('Calcs - Power'!$H13+'Calcs - Power'!$I13+'Calcs - Power'!$J13+'Calcs - Power'!$K13))</f>
        <v>1873.9776830995322</v>
      </c>
      <c r="V14" s="366">
        <f>(102*'Emissions Factors'!$C$36*'Calcs - Power'!$B13+'Emissions Factors'!$C$35*('Calcs - Power'!$C13+'Calcs - Power'!$D13+'Calcs - Power'!$E13+'Calcs - Power'!$F13))</f>
        <v>1937.4055968129967</v>
      </c>
      <c r="W14" s="359">
        <f>(102*'Emissions Factors'!$D$36*'Calcs - Power'!$G13+'Emissions Factors'!$D$35*('Calcs - Power'!$H13+'Calcs - Power'!$I13+'Calcs - Power'!$J13+'Calcs - Power'!$K13))</f>
        <v>1873.9776830995322</v>
      </c>
      <c r="X14" s="366">
        <f>(102*'Emissions Factors'!$D$36*'Calcs - Power'!$B13+'Emissions Factors'!$D$35*('Calcs - Power'!$C13+'Calcs - Power'!$D13+'Calcs - Power'!$E13+'Calcs - Power'!$F13))</f>
        <v>1937.4055968129967</v>
      </c>
      <c r="Y14" s="359">
        <f>(102*'Emissions Factors'!$C$38*'Calcs - Power'!$G13+'Emissions Factors'!$C$37*('Calcs - Power'!$H13+'Calcs - Power'!$I13+'Calcs - Power'!$J13+'Calcs - Power'!$K13))</f>
        <v>1458.101633015825</v>
      </c>
      <c r="Z14" s="366">
        <f>(102*'Emissions Factors'!$C$38*'Calcs - Power'!$B13+'Emissions Factors'!$C$37*('Calcs - Power'!$C13+'Calcs - Power'!$D13+'Calcs - Power'!$E13+'Calcs - Power'!$F13))</f>
        <v>1504.1441054946285</v>
      </c>
      <c r="AA14" s="359">
        <f>(102*'Emissions Factors'!$C$36*'Calcs - Power'!$G13+'Emissions Factors'!$C$35*('Calcs - Power'!$H13+'Calcs - Power'!$I13+'Calcs - Power'!$J13+'Calcs - Power'!$K13))</f>
        <v>1873.9776830995322</v>
      </c>
      <c r="AB14" s="366">
        <f>(102*'Emissions Factors'!$C$36*'Calcs - Power'!$B13+'Emissions Factors'!$C$35*('Calcs - Power'!$C13+'Calcs - Power'!$D13+'Calcs - Power'!$E13+'Calcs - Power'!$F13))</f>
        <v>1937.4055968129967</v>
      </c>
      <c r="AI14" s="358">
        <f>AI13+1</f>
        <v>2</v>
      </c>
      <c r="AJ14" s="359">
        <f>(('Methane Leakage'!$G$6/'Methane Leakage'!$G$5)*102*'Emissions Factors'!$D$10*'Calcs - Power'!$G13+'Emissions Factors'!$D$11*('Calcs - Power'!$H13+'Calcs - Power'!$I13+'Calcs - Power'!$J13+'Calcs - Power'!$K13))</f>
        <v>221.92223365738056</v>
      </c>
      <c r="AK14" s="366">
        <f>(('Methane Leakage'!$G$6/'Methane Leakage'!$G$5)*102*'Emissions Factors'!$D$10*'Calcs - Power'!$B13+'Emissions Factors'!$D$11*('Calcs - Power'!$C13+'Calcs - Power'!$D13+'Calcs - Power'!$E13+'Calcs - Power'!$F13))</f>
        <v>228.8128720094582</v>
      </c>
      <c r="AL14" s="359">
        <f>(102*'Emissions Factors'!$E$10*'Calcs - Power'!$G13+'Emissions Factors'!$E$11*('Calcs - Power'!H13+'Calcs - Power'!I13+'Calcs - Power'!J13+'Calcs - Power'!K13))</f>
        <v>172.37535131927467</v>
      </c>
      <c r="AM14" s="366">
        <f>(102*'Emissions Factors'!$E$10*'Calcs - Power'!$B13+'Emissions Factors'!$E$11*('Calcs - Power'!C13+'Calcs - Power'!D13+'Calcs - Power'!E13+'Calcs - Power'!F13))</f>
        <v>178.16763745321305</v>
      </c>
      <c r="AN14" s="359">
        <f>(102*'Emissions Factors'!$D$10*'Calcs - Power'!$G13+'Emissions Factors'!$D$11*('Calcs - Power'!$H13+'Calcs - Power'!$I13+'Calcs - Power'!$J13+'Calcs - Power'!$K13))</f>
        <v>221.92223365738056</v>
      </c>
      <c r="AO14" s="366">
        <f>(102*'Emissions Factors'!$D$10*'Calcs - Power'!$B13+'Emissions Factors'!$D$11*('Calcs - Power'!$C13+'Calcs - Power'!$D13+'Calcs - Power'!$E13+'Calcs - Power'!$F13))</f>
        <v>228.8128720094582</v>
      </c>
      <c r="AP14" s="367">
        <f>(102*'Emissions Factors'!$E$10*'Calcs - Power'!$G13+'Emissions Factors'!$E$11*('Calcs - Power'!H13+'Calcs - Power'!I13+'Calcs - Power'!J13+'Calcs - Power'!K13))</f>
        <v>172.37535131927467</v>
      </c>
      <c r="AQ14" s="366">
        <f>(102*'Emissions Factors'!$E$10*'Calcs - Power'!$B13+'Emissions Factors'!$E$11*('Calcs - Power'!C13+'Calcs - Power'!D13+'Calcs - Power'!E13+'Calcs - Power'!F13))</f>
        <v>178.16763745321305</v>
      </c>
      <c r="AS14" s="357"/>
      <c r="AT14" s="357"/>
      <c r="AU14" s="357"/>
      <c r="AV14" s="357"/>
      <c r="AX14" s="358">
        <f>AX13+1</f>
        <v>2</v>
      </c>
      <c r="AY14" s="359">
        <f>(('Methane Leakage'!$G$6/'Methane Leakage'!$G$5)*102*'Emissions Factors'!$F$10*'Calcs - Power'!$G13+'Emissions Factors'!$F$11*('Calcs - Power'!$H13+'Calcs - Power'!$I13+'Calcs - Power'!$J13+'Calcs - Power'!$K13))</f>
        <v>272939.95969987073</v>
      </c>
      <c r="AZ14" s="366">
        <f>(('Methane Leakage'!$G$6/'Methane Leakage'!$G$5)*102*'Emissions Factors'!$F$10*'Calcs - Power'!$B13+'Emissions Factors'!$F$11*('Calcs - Power'!$C13+'Calcs - Power'!$D13+'Calcs - Power'!$E13+'Calcs - Power'!$F13))</f>
        <v>281568.7758939623</v>
      </c>
      <c r="BA14" s="359">
        <f>(102*'Emissions Factors'!$G$10*'Calcs - Power'!$G13+'Emissions Factors'!$G$11*('Calcs - Power'!H13+'Calcs - Power'!I13+'Calcs - Power'!J13+'Calcs - Power'!K13))</f>
        <v>195742.42200213138</v>
      </c>
      <c r="BB14" s="366">
        <f>(102*'Emissions Factors'!$G$10*'Calcs - Power'!$B13+'Emissions Factors'!$G$11*('Calcs - Power'!C13+'Calcs - Power'!D13+'Calcs - Power'!E13+'Calcs - Power'!F13))</f>
        <v>202344.59407710237</v>
      </c>
      <c r="BC14" s="359">
        <f>(102*'Emissions Factors'!$F$10*'Calcs - Power'!$G13+'Emissions Factors'!$F$11*('Calcs - Power'!$H13+'Calcs - Power'!$I13+'Calcs - Power'!$J13+'Calcs - Power'!$K13))</f>
        <v>272939.95969987073</v>
      </c>
      <c r="BD14" s="366">
        <f>(102*'Emissions Factors'!$F$10*'Calcs - Power'!$B13+'Emissions Factors'!$F$11*('Calcs - Power'!$C13+'Calcs - Power'!$D13+'Calcs - Power'!$E13+'Calcs - Power'!$F13))</f>
        <v>281568.7758939623</v>
      </c>
      <c r="BE14" s="359">
        <f>(102*'Emissions Factors'!$G$10*'Calcs - Power'!$G13+'Emissions Factors'!$G$11*('Calcs - Power'!H13+'Calcs - Power'!I13+'Calcs - Power'!J13+'Calcs - Power'!K13))</f>
        <v>195742.42200213138</v>
      </c>
      <c r="BF14" s="366">
        <f>(102*'Emissions Factors'!$G$10*'Calcs - Power'!$B13+'Emissions Factors'!$G$11*('Calcs - Power'!C13+'Calcs - Power'!D13+'Calcs - Power'!E13+'Calcs - Power'!F13))</f>
        <v>202344.59407710237</v>
      </c>
    </row>
    <row r="15" spans="1:58" x14ac:dyDescent="0.3">
      <c r="A15" s="351">
        <f t="shared" ref="A15:A78" si="10">A14+1</f>
        <v>3</v>
      </c>
      <c r="B15" s="352">
        <f t="shared" si="0"/>
        <v>1</v>
      </c>
      <c r="C15" s="363">
        <f t="shared" si="1"/>
        <v>1</v>
      </c>
      <c r="D15" s="352">
        <f t="shared" si="2"/>
        <v>1</v>
      </c>
      <c r="E15" s="364">
        <f t="shared" si="3"/>
        <v>1</v>
      </c>
      <c r="F15" s="364">
        <f t="shared" si="4"/>
        <v>1</v>
      </c>
      <c r="G15" s="365">
        <f t="shared" si="5"/>
        <v>1</v>
      </c>
      <c r="P15" s="358">
        <f t="shared" ref="P15:P78" si="11">P14+1</f>
        <v>3</v>
      </c>
      <c r="Q15" s="359">
        <f>(('Methane Leakage'!$C$6/'Methane Leakage'!$C$5)*102*'Emissions Factors'!$C$38*'Calcs - Power'!$G14+'Emissions Factors'!$C$37*('Calcs - Power'!$H14+'Calcs - Power'!$I14+'Calcs - Power'!$J14+'Calcs - Power'!$K14))</f>
        <v>2106.0559419801993</v>
      </c>
      <c r="R15" s="366">
        <f>(('Methane Leakage'!$C$6/'Methane Leakage'!$C$5)*102*'Emissions Factors'!$C$38*'Calcs - Power'!$B14+'Emissions Factors'!$C$37*('Calcs - Power'!$C14+'Calcs - Power'!$D14+'Calcs - Power'!$E14+'Calcs - Power'!$F14))</f>
        <v>3289.5684321074377</v>
      </c>
      <c r="S15" s="359">
        <f>(('Methane Leakage'!$C$6/'Methane Leakage'!$C$5)*102*'Emissions Factors'!$D$38*'Calcs - Power'!$G14+'Emissions Factors'!$D$37*('Calcs - Power'!$H14+'Calcs - Power'!$I14+'Calcs - Power'!$J14+'Calcs - Power'!$K14))</f>
        <v>2106.0559419801993</v>
      </c>
      <c r="T15" s="366">
        <f>(('Methane Leakage'!$C$6/'Methane Leakage'!$C$5)*102*'Emissions Factors'!$D$38*'Calcs - Power'!$B14+'Emissions Factors'!$D$37*('Calcs - Power'!$C14+'Calcs - Power'!$D14+'Calcs - Power'!$E14+'Calcs - Power'!$F14))</f>
        <v>3289.5684321074377</v>
      </c>
      <c r="U15" s="361">
        <f>(102*'Emissions Factors'!$C$36*'Calcs - Power'!$G14+'Emissions Factors'!$C$35*('Calcs - Power'!$H14+'Calcs - Power'!$I14+'Calcs - Power'!$J14+'Calcs - Power'!$K14))</f>
        <v>2710.6633377006851</v>
      </c>
      <c r="V15" s="366">
        <f>(102*'Emissions Factors'!$C$36*'Calcs - Power'!$B14+'Emissions Factors'!$C$35*('Calcs - Power'!$C14+'Calcs - Power'!$D14+'Calcs - Power'!$E14+'Calcs - Power'!$F14))</f>
        <v>4233.1703339854139</v>
      </c>
      <c r="W15" s="359">
        <f>(102*'Emissions Factors'!$D$36*'Calcs - Power'!$G14+'Emissions Factors'!$D$35*('Calcs - Power'!$H14+'Calcs - Power'!$I14+'Calcs - Power'!$J14+'Calcs - Power'!$K14))</f>
        <v>2710.6633377006851</v>
      </c>
      <c r="X15" s="366">
        <f>(102*'Emissions Factors'!$D$36*'Calcs - Power'!$B14+'Emissions Factors'!$D$35*('Calcs - Power'!$C14+'Calcs - Power'!$D14+'Calcs - Power'!$E14+'Calcs - Power'!$F14))</f>
        <v>4233.1703339854139</v>
      </c>
      <c r="Y15" s="359">
        <f>(102*'Emissions Factors'!$C$38*'Calcs - Power'!$G14+'Emissions Factors'!$C$37*('Calcs - Power'!$H14+'Calcs - Power'!$I14+'Calcs - Power'!$J14+'Calcs - Power'!$K14))</f>
        <v>2106.0559419801993</v>
      </c>
      <c r="Z15" s="366">
        <f>(102*'Emissions Factors'!$C$38*'Calcs - Power'!$B14+'Emissions Factors'!$C$37*('Calcs - Power'!$C14+'Calcs - Power'!$D14+'Calcs - Power'!$E14+'Calcs - Power'!$F14))</f>
        <v>3289.5684321074377</v>
      </c>
      <c r="AA15" s="359">
        <f>(102*'Emissions Factors'!$C$36*'Calcs - Power'!$G14+'Emissions Factors'!$C$35*('Calcs - Power'!$H14+'Calcs - Power'!$I14+'Calcs - Power'!$J14+'Calcs - Power'!$K14))</f>
        <v>2710.6633377006851</v>
      </c>
      <c r="AB15" s="366">
        <f>(102*'Emissions Factors'!$C$36*'Calcs - Power'!$B14+'Emissions Factors'!$C$35*('Calcs - Power'!$C14+'Calcs - Power'!$D14+'Calcs - Power'!$E14+'Calcs - Power'!$F14))</f>
        <v>4233.1703339854139</v>
      </c>
      <c r="AI15" s="358">
        <f t="shared" ref="AI15:AI78" si="12">AI14+1</f>
        <v>3</v>
      </c>
      <c r="AJ15" s="359">
        <f>(('Methane Leakage'!$G$6/'Methane Leakage'!$G$5)*102*'Emissions Factors'!$D$10*'Calcs - Power'!$G14+'Emissions Factors'!$D$11*('Calcs - Power'!$H14+'Calcs - Power'!$I14+'Calcs - Power'!$J14+'Calcs - Power'!$K14))</f>
        <v>320.432582687749</v>
      </c>
      <c r="AK15" s="366">
        <f>(('Methane Leakage'!$G$6/'Methane Leakage'!$G$5)*102*'Emissions Factors'!$D$10*'Calcs - Power'!$B14+'Emissions Factors'!$D$11*('Calcs - Power'!$C14+'Calcs - Power'!$D14+'Calcs - Power'!$E14+'Calcs - Power'!$F14))</f>
        <v>500.5230027541993</v>
      </c>
      <c r="AL15" s="359">
        <f>(102*'Emissions Factors'!$E$10*'Calcs - Power'!$G14+'Emissions Factors'!$E$11*('Calcs - Power'!H14+'Calcs - Power'!I14+'Calcs - Power'!J14+'Calcs - Power'!K14))</f>
        <v>249.29798588333165</v>
      </c>
      <c r="AM15" s="366">
        <f>(102*'Emissions Factors'!$E$10*'Calcs - Power'!$B14+'Emissions Factors'!$E$11*('Calcs - Power'!C14+'Calcs - Power'!D14+'Calcs - Power'!E14+'Calcs - Power'!F14))</f>
        <v>389.32957594118074</v>
      </c>
      <c r="AN15" s="359">
        <f>(102*'Emissions Factors'!$D$10*'Calcs - Power'!$G14+'Emissions Factors'!$D$11*('Calcs - Power'!$H14+'Calcs - Power'!$I14+'Calcs - Power'!$J14+'Calcs - Power'!$K14))</f>
        <v>320.432582687749</v>
      </c>
      <c r="AO15" s="366">
        <f>(102*'Emissions Factors'!$D$10*'Calcs - Power'!$B14+'Emissions Factors'!$D$11*('Calcs - Power'!$C14+'Calcs - Power'!$D14+'Calcs - Power'!$E14+'Calcs - Power'!$F14))</f>
        <v>500.5230027541993</v>
      </c>
      <c r="AP15" s="367">
        <f>(102*'Emissions Factors'!$E$10*'Calcs - Power'!$G14+'Emissions Factors'!$E$11*('Calcs - Power'!H14+'Calcs - Power'!I14+'Calcs - Power'!J14+'Calcs - Power'!K14))</f>
        <v>249.29798588333165</v>
      </c>
      <c r="AQ15" s="366">
        <f>(102*'Emissions Factors'!$E$10*'Calcs - Power'!$B14+'Emissions Factors'!$E$11*('Calcs - Power'!C14+'Calcs - Power'!D14+'Calcs - Power'!E14+'Calcs - Power'!F14))</f>
        <v>389.32957594118074</v>
      </c>
      <c r="AS15" s="357"/>
      <c r="AT15" s="357"/>
      <c r="AU15" s="357"/>
      <c r="AV15" s="357"/>
      <c r="AX15" s="358">
        <f t="shared" ref="AX15:AX78" si="13">AX14+1</f>
        <v>3</v>
      </c>
      <c r="AY15" s="359">
        <f>(('Methane Leakage'!$G$6/'Methane Leakage'!$G$5)*102*'Emissions Factors'!$F$10*'Calcs - Power'!$G14+'Emissions Factors'!$F$11*('Calcs - Power'!$H14+'Calcs - Power'!$I14+'Calcs - Power'!$J14+'Calcs - Power'!$K14))</f>
        <v>394239.00147133286</v>
      </c>
      <c r="AZ15" s="366">
        <f>(('Methane Leakage'!$G$6/'Methane Leakage'!$G$5)*102*'Emissions Factors'!$F$10*'Calcs - Power'!$B14+'Emissions Factors'!$F$11*('Calcs - Power'!$C14+'Calcs - Power'!$D14+'Calcs - Power'!$E14+'Calcs - Power'!$F14))</f>
        <v>615782.45321064629</v>
      </c>
      <c r="BA15" s="359">
        <f>(102*'Emissions Factors'!$G$10*'Calcs - Power'!$G14+'Emissions Factors'!$G$11*('Calcs - Power'!H14+'Calcs - Power'!I14+'Calcs - Power'!J14+'Calcs - Power'!K14))</f>
        <v>283115.40343135962</v>
      </c>
      <c r="BB15" s="366">
        <f>(102*'Emissions Factors'!$G$10*'Calcs - Power'!$B14+'Emissions Factors'!$G$11*('Calcs - Power'!C14+'Calcs - Power'!D14+'Calcs - Power'!E14+'Calcs - Power'!F14))</f>
        <v>442137.90423106321</v>
      </c>
      <c r="BC15" s="359">
        <f>(102*'Emissions Factors'!$F$10*'Calcs - Power'!$G14+'Emissions Factors'!$F$11*('Calcs - Power'!$H14+'Calcs - Power'!$I14+'Calcs - Power'!$J14+'Calcs - Power'!$K14))</f>
        <v>394239.00147133286</v>
      </c>
      <c r="BD15" s="366">
        <f>(102*'Emissions Factors'!$F$10*'Calcs - Power'!$B14+'Emissions Factors'!$F$11*('Calcs - Power'!$C14+'Calcs - Power'!$D14+'Calcs - Power'!$E14+'Calcs - Power'!$F14))</f>
        <v>615782.45321064629</v>
      </c>
      <c r="BE15" s="359">
        <f>(102*'Emissions Factors'!$G$10*'Calcs - Power'!$G14+'Emissions Factors'!$G$11*('Calcs - Power'!H14+'Calcs - Power'!I14+'Calcs - Power'!J14+'Calcs - Power'!K14))</f>
        <v>283115.40343135962</v>
      </c>
      <c r="BF15" s="366">
        <f>(102*'Emissions Factors'!$G$10*'Calcs - Power'!$B14+'Emissions Factors'!$G$11*('Calcs - Power'!C14+'Calcs - Power'!D14+'Calcs - Power'!E14+'Calcs - Power'!F14))</f>
        <v>442137.90423106321</v>
      </c>
    </row>
    <row r="16" spans="1:58" x14ac:dyDescent="0.3">
      <c r="A16" s="351">
        <f t="shared" si="10"/>
        <v>4</v>
      </c>
      <c r="B16" s="352">
        <f t="shared" si="0"/>
        <v>0.99999999999999978</v>
      </c>
      <c r="C16" s="363">
        <f t="shared" si="1"/>
        <v>1</v>
      </c>
      <c r="D16" s="352">
        <f t="shared" si="2"/>
        <v>1</v>
      </c>
      <c r="E16" s="364">
        <f t="shared" si="3"/>
        <v>1</v>
      </c>
      <c r="F16" s="364">
        <f t="shared" si="4"/>
        <v>1</v>
      </c>
      <c r="G16" s="365">
        <f t="shared" si="5"/>
        <v>1</v>
      </c>
      <c r="P16" s="358">
        <f t="shared" si="11"/>
        <v>4</v>
      </c>
      <c r="Q16" s="359">
        <f>(('Methane Leakage'!$C$6/'Methane Leakage'!$C$5)*102*'Emissions Factors'!$C$38*'Calcs - Power'!$G15+'Emissions Factors'!$C$37*('Calcs - Power'!$H15+'Calcs - Power'!$I15+'Calcs - Power'!$J15+'Calcs - Power'!$K15))</f>
        <v>2717.9029563209692</v>
      </c>
      <c r="R16" s="366">
        <f>(('Methane Leakage'!$C$6/'Methane Leakage'!$C$5)*102*'Emissions Factors'!$C$38*'Calcs - Power'!$B15+'Emissions Factors'!$C$37*('Calcs - Power'!$C15+'Calcs - Power'!$D15+'Calcs - Power'!$E15+'Calcs - Power'!$F15))</f>
        <v>5704.2707641462475</v>
      </c>
      <c r="S16" s="359">
        <f>(('Methane Leakage'!$C$6/'Methane Leakage'!$C$5)*102*'Emissions Factors'!$D$38*'Calcs - Power'!$G15+'Emissions Factors'!$D$37*('Calcs - Power'!$H15+'Calcs - Power'!$I15+'Calcs - Power'!$J15+'Calcs - Power'!$K15))</f>
        <v>2717.9029563209692</v>
      </c>
      <c r="T16" s="366">
        <f>(('Methane Leakage'!$C$6/'Methane Leakage'!$C$5)*102*'Emissions Factors'!$D$38*'Calcs - Power'!$B15+'Emissions Factors'!$D$37*('Calcs - Power'!$C15+'Calcs - Power'!$D15+'Calcs - Power'!$E15+'Calcs - Power'!$F15))</f>
        <v>5704.2707641462475</v>
      </c>
      <c r="U16" s="361">
        <f>(102*'Emissions Factors'!$C$36*'Calcs - Power'!$G15+'Emissions Factors'!$C$35*('Calcs - Power'!$H15+'Calcs - Power'!$I15+'Calcs - Power'!$J15+'Calcs - Power'!$K15))</f>
        <v>3512.6435397416349</v>
      </c>
      <c r="V16" s="366">
        <f>(102*'Emissions Factors'!$C$36*'Calcs - Power'!$B15+'Emissions Factors'!$C$35*('Calcs - Power'!$C15+'Calcs - Power'!$D15+'Calcs - Power'!$E15+'Calcs - Power'!$F15))</f>
        <v>7347.2643816881682</v>
      </c>
      <c r="W16" s="359">
        <f>(102*'Emissions Factors'!$D$36*'Calcs - Power'!$G15+'Emissions Factors'!$D$35*('Calcs - Power'!$H15+'Calcs - Power'!$I15+'Calcs - Power'!$J15+'Calcs - Power'!$K15))</f>
        <v>3512.6435397416349</v>
      </c>
      <c r="X16" s="366">
        <f>(102*'Emissions Factors'!$D$36*'Calcs - Power'!$B15+'Emissions Factors'!$D$35*('Calcs - Power'!$C15+'Calcs - Power'!$D15+'Calcs - Power'!$E15+'Calcs - Power'!$F15))</f>
        <v>7347.2643816881682</v>
      </c>
      <c r="Y16" s="359">
        <f>(102*'Emissions Factors'!$C$38*'Calcs - Power'!$G15+'Emissions Factors'!$C$37*('Calcs - Power'!$H15+'Calcs - Power'!$I15+'Calcs - Power'!$J15+'Calcs - Power'!$K15))</f>
        <v>2717.9029563209692</v>
      </c>
      <c r="Z16" s="366">
        <f>(102*'Emissions Factors'!$C$38*'Calcs - Power'!$B15+'Emissions Factors'!$C$37*('Calcs - Power'!$C15+'Calcs - Power'!$D15+'Calcs - Power'!$E15+'Calcs - Power'!$F15))</f>
        <v>5704.2707641462475</v>
      </c>
      <c r="AA16" s="359">
        <f>(102*'Emissions Factors'!$C$36*'Calcs - Power'!$G15+'Emissions Factors'!$C$35*('Calcs - Power'!$H15+'Calcs - Power'!$I15+'Calcs - Power'!$J15+'Calcs - Power'!$K15))</f>
        <v>3512.6435397416349</v>
      </c>
      <c r="AB16" s="366">
        <f>(102*'Emissions Factors'!$C$36*'Calcs - Power'!$B15+'Emissions Factors'!$C$35*('Calcs - Power'!$C15+'Calcs - Power'!$D15+'Calcs - Power'!$E15+'Calcs - Power'!$F15))</f>
        <v>7347.2643816881682</v>
      </c>
      <c r="AI16" s="358">
        <f t="shared" si="12"/>
        <v>4</v>
      </c>
      <c r="AJ16" s="359">
        <f>(('Methane Leakage'!$G$6/'Methane Leakage'!$G$5)*102*'Emissions Factors'!$D$10*'Calcs - Power'!$G15+'Emissions Factors'!$D$11*('Calcs - Power'!$H15+'Calcs - Power'!$I15+'Calcs - Power'!$J15+'Calcs - Power'!$K15))</f>
        <v>413.12557335150234</v>
      </c>
      <c r="AK16" s="366">
        <f>(('Methane Leakage'!$G$6/'Methane Leakage'!$G$5)*102*'Emissions Factors'!$D$10*'Calcs - Power'!$B15+'Emissions Factors'!$D$11*('Calcs - Power'!$C15+'Calcs - Power'!$D15+'Calcs - Power'!$E15+'Calcs - Power'!$F15))</f>
        <v>867.74562966279598</v>
      </c>
      <c r="AL16" s="359">
        <f>(102*'Emissions Factors'!$E$10*'Calcs - Power'!$G15+'Emissions Factors'!$E$11*('Calcs - Power'!H15+'Calcs - Power'!I15+'Calcs - Power'!J15+'Calcs - Power'!K15))</f>
        <v>322.91262200600403</v>
      </c>
      <c r="AM16" s="366">
        <f>(102*'Emissions Factors'!$E$10*'Calcs - Power'!$B15+'Emissions Factors'!$E$11*('Calcs - Power'!C15+'Calcs - Power'!D15+'Calcs - Power'!E15+'Calcs - Power'!F15))</f>
        <v>675.66984373345258</v>
      </c>
      <c r="AN16" s="359">
        <f>(102*'Emissions Factors'!$D$10*'Calcs - Power'!$G15+'Emissions Factors'!$D$11*('Calcs - Power'!$H15+'Calcs - Power'!$I15+'Calcs - Power'!$J15+'Calcs - Power'!$K15))</f>
        <v>413.12557335150234</v>
      </c>
      <c r="AO16" s="366">
        <f>(102*'Emissions Factors'!$D$10*'Calcs - Power'!$B15+'Emissions Factors'!$D$11*('Calcs - Power'!$C15+'Calcs - Power'!$D15+'Calcs - Power'!$E15+'Calcs - Power'!$F15))</f>
        <v>867.74562966279598</v>
      </c>
      <c r="AP16" s="367">
        <f>(102*'Emissions Factors'!$E$10*'Calcs - Power'!$G15+'Emissions Factors'!$E$11*('Calcs - Power'!H15+'Calcs - Power'!I15+'Calcs - Power'!J15+'Calcs - Power'!K15))</f>
        <v>322.91262200600403</v>
      </c>
      <c r="AQ16" s="366">
        <f>(102*'Emissions Factors'!$E$10*'Calcs - Power'!$B15+'Emissions Factors'!$E$11*('Calcs - Power'!C15+'Calcs - Power'!D15+'Calcs - Power'!E15+'Calcs - Power'!F15))</f>
        <v>675.66984373345258</v>
      </c>
      <c r="AS16" s="357"/>
      <c r="AT16" s="357"/>
      <c r="AU16" s="357"/>
      <c r="AV16" s="357"/>
      <c r="AX16" s="358">
        <f t="shared" si="13"/>
        <v>4</v>
      </c>
      <c r="AY16" s="359">
        <f>(('Methane Leakage'!$G$6/'Methane Leakage'!$G$5)*102*'Emissions Factors'!$F$10*'Calcs - Power'!$G15+'Emissions Factors'!$F$11*('Calcs - Power'!$H15+'Calcs - Power'!$I15+'Calcs - Power'!$J15+'Calcs - Power'!$K15))</f>
        <v>508807.20601905946</v>
      </c>
      <c r="AZ16" s="366">
        <f>(('Methane Leakage'!$G$6/'Methane Leakage'!$G$5)*102*'Emissions Factors'!$F$10*'Calcs - Power'!$B15+'Emissions Factors'!$F$11*('Calcs - Power'!$C15+'Calcs - Power'!$D15+'Calcs - Power'!$E15+'Calcs - Power'!$F15))</f>
        <v>1067812.7122549883</v>
      </c>
      <c r="BA16" s="359">
        <f>(102*'Emissions Factors'!$G$10*'Calcs - Power'!$G15+'Emissions Factors'!$G$11*('Calcs - Power'!H15+'Calcs - Power'!I15+'Calcs - Power'!J15+'Calcs - Power'!K15))</f>
        <v>366799.86994705914</v>
      </c>
      <c r="BB16" s="366">
        <f>(102*'Emissions Factors'!$G$10*'Calcs - Power'!$B15+'Emissions Factors'!$G$11*('Calcs - Power'!C15+'Calcs - Power'!D15+'Calcs - Power'!E15+'Calcs - Power'!F15))</f>
        <v>767356.21006162523</v>
      </c>
      <c r="BC16" s="359">
        <f>(102*'Emissions Factors'!$F$10*'Calcs - Power'!$G15+'Emissions Factors'!$F$11*('Calcs - Power'!$H15+'Calcs - Power'!$I15+'Calcs - Power'!$J15+'Calcs - Power'!$K15))</f>
        <v>508807.20601905946</v>
      </c>
      <c r="BD16" s="366">
        <f>(102*'Emissions Factors'!$F$10*'Calcs - Power'!$B15+'Emissions Factors'!$F$11*('Calcs - Power'!$C15+'Calcs - Power'!$D15+'Calcs - Power'!$E15+'Calcs - Power'!$F15))</f>
        <v>1067812.7122549883</v>
      </c>
      <c r="BE16" s="359">
        <f>(102*'Emissions Factors'!$G$10*'Calcs - Power'!$G15+'Emissions Factors'!$G$11*('Calcs - Power'!H15+'Calcs - Power'!I15+'Calcs - Power'!J15+'Calcs - Power'!K15))</f>
        <v>366799.86994705914</v>
      </c>
      <c r="BF16" s="366">
        <f>(102*'Emissions Factors'!$G$10*'Calcs - Power'!$B15+'Emissions Factors'!$G$11*('Calcs - Power'!C15+'Calcs - Power'!D15+'Calcs - Power'!E15+'Calcs - Power'!F15))</f>
        <v>767356.21006162523</v>
      </c>
    </row>
    <row r="17" spans="1:58" x14ac:dyDescent="0.3">
      <c r="A17" s="351">
        <f t="shared" si="10"/>
        <v>5</v>
      </c>
      <c r="B17" s="352">
        <f t="shared" si="0"/>
        <v>1</v>
      </c>
      <c r="C17" s="363">
        <f t="shared" si="1"/>
        <v>1</v>
      </c>
      <c r="D17" s="352">
        <f t="shared" si="2"/>
        <v>1</v>
      </c>
      <c r="E17" s="364">
        <f t="shared" si="3"/>
        <v>1</v>
      </c>
      <c r="F17" s="364">
        <f t="shared" si="4"/>
        <v>1</v>
      </c>
      <c r="G17" s="365">
        <f t="shared" si="5"/>
        <v>1</v>
      </c>
      <c r="P17" s="358">
        <f t="shared" si="11"/>
        <v>5</v>
      </c>
      <c r="Q17" s="359">
        <f>(('Methane Leakage'!$C$6/'Methane Leakage'!$C$5)*102*'Emissions Factors'!$C$38*'Calcs - Power'!$G16+'Emissions Factors'!$C$37*('Calcs - Power'!$H16+'Calcs - Power'!$I16+'Calcs - Power'!$J16+'Calcs - Power'!$K16))</f>
        <v>3299.3663974188353</v>
      </c>
      <c r="R17" s="366">
        <f>(('Methane Leakage'!$C$6/'Methane Leakage'!$C$5)*102*'Emissions Factors'!$C$38*'Calcs - Power'!$B16+'Emissions Factors'!$C$37*('Calcs - Power'!$C16+'Calcs - Power'!$D16+'Calcs - Power'!$E16+'Calcs - Power'!$F16))</f>
        <v>8715.2691802382469</v>
      </c>
      <c r="S17" s="359">
        <f>(('Methane Leakage'!$C$6/'Methane Leakage'!$C$5)*102*'Emissions Factors'!$D$38*'Calcs - Power'!$G16+'Emissions Factors'!$D$37*('Calcs - Power'!$H16+'Calcs - Power'!$I16+'Calcs - Power'!$J16+'Calcs - Power'!$K16))</f>
        <v>3299.3663974188353</v>
      </c>
      <c r="T17" s="366">
        <f>(('Methane Leakage'!$C$6/'Methane Leakage'!$C$5)*102*'Emissions Factors'!$D$38*'Calcs - Power'!$B16+'Emissions Factors'!$D$37*('Calcs - Power'!$C16+'Calcs - Power'!$D16+'Calcs - Power'!$E16+'Calcs - Power'!$F16))</f>
        <v>8715.2691802382469</v>
      </c>
      <c r="U17" s="361">
        <f>(102*'Emissions Factors'!$C$36*'Calcs - Power'!$G16+'Emissions Factors'!$C$35*('Calcs - Power'!$H16+'Calcs - Power'!$I16+'Calcs - Power'!$J16+'Calcs - Power'!$K16))</f>
        <v>4288.5097114372556</v>
      </c>
      <c r="V17" s="366">
        <f>(102*'Emissions Factors'!$C$36*'Calcs - Power'!$B16+'Emissions Factors'!$C$35*('Calcs - Power'!$C16+'Calcs - Power'!$D16+'Calcs - Power'!$E16+'Calcs - Power'!$F16))</f>
        <v>11249.796476102687</v>
      </c>
      <c r="W17" s="359">
        <f>(102*'Emissions Factors'!$D$36*'Calcs - Power'!$G16+'Emissions Factors'!$D$35*('Calcs - Power'!$H16+'Calcs - Power'!$I16+'Calcs - Power'!$J16+'Calcs - Power'!$K16))</f>
        <v>4288.5097114372556</v>
      </c>
      <c r="X17" s="366">
        <f>(102*'Emissions Factors'!$D$36*'Calcs - Power'!$B16+'Emissions Factors'!$D$35*('Calcs - Power'!$C16+'Calcs - Power'!$D16+'Calcs - Power'!$E16+'Calcs - Power'!$F16))</f>
        <v>11249.796476102687</v>
      </c>
      <c r="Y17" s="359">
        <f>(102*'Emissions Factors'!$C$38*'Calcs - Power'!$G16+'Emissions Factors'!$C$37*('Calcs - Power'!$H16+'Calcs - Power'!$I16+'Calcs - Power'!$J16+'Calcs - Power'!$K16))</f>
        <v>3299.3663974188353</v>
      </c>
      <c r="Z17" s="366">
        <f>(102*'Emissions Factors'!$C$38*'Calcs - Power'!$B16+'Emissions Factors'!$C$37*('Calcs - Power'!$C16+'Calcs - Power'!$D16+'Calcs - Power'!$E16+'Calcs - Power'!$F16))</f>
        <v>8715.2691802382469</v>
      </c>
      <c r="AA17" s="359">
        <f>(102*'Emissions Factors'!$C$36*'Calcs - Power'!$G16+'Emissions Factors'!$C$35*('Calcs - Power'!$H16+'Calcs - Power'!$I16+'Calcs - Power'!$J16+'Calcs - Power'!$K16))</f>
        <v>4288.5097114372556</v>
      </c>
      <c r="AB17" s="366">
        <f>(102*'Emissions Factors'!$C$36*'Calcs - Power'!$B16+'Emissions Factors'!$C$35*('Calcs - Power'!$C16+'Calcs - Power'!$D16+'Calcs - Power'!$E16+'Calcs - Power'!$F16))</f>
        <v>11249.796476102687</v>
      </c>
      <c r="AI17" s="358">
        <f t="shared" si="12"/>
        <v>5</v>
      </c>
      <c r="AJ17" s="359">
        <f>(('Methane Leakage'!$G$6/'Methane Leakage'!$G$5)*102*'Emissions Factors'!$D$10*'Calcs - Power'!$G16+'Emissions Factors'!$D$11*('Calcs - Power'!$H16+'Calcs - Power'!$I16+'Calcs - Power'!$J16+'Calcs - Power'!$K16))</f>
        <v>500.83837525072636</v>
      </c>
      <c r="AK17" s="366">
        <f>(('Methane Leakage'!$G$6/'Methane Leakage'!$G$5)*102*'Emissions Factors'!$D$10*'Calcs - Power'!$B16+'Emissions Factors'!$D$11*('Calcs - Power'!$C16+'Calcs - Power'!$D16+'Calcs - Power'!$E16+'Calcs - Power'!$F16))</f>
        <v>1325.1171395436095</v>
      </c>
      <c r="AL17" s="359">
        <f>(102*'Emissions Factors'!$E$10*'Calcs - Power'!$G16+'Emissions Factors'!$E$11*('Calcs - Power'!H16+'Calcs - Power'!I16+'Calcs - Power'!J16+'Calcs - Power'!K16))</f>
        <v>393.99731969794482</v>
      </c>
      <c r="AM17" s="366">
        <f>(102*'Emissions Factors'!$E$10*'Calcs - Power'!$B16+'Emissions Factors'!$E$11*('Calcs - Power'!C16+'Calcs - Power'!D16+'Calcs - Power'!E16+'Calcs - Power'!F16))</f>
        <v>1034.315386386583</v>
      </c>
      <c r="AN17" s="359">
        <f>(102*'Emissions Factors'!$D$10*'Calcs - Power'!$G16+'Emissions Factors'!$D$11*('Calcs - Power'!$H16+'Calcs - Power'!$I16+'Calcs - Power'!$J16+'Calcs - Power'!$K16))</f>
        <v>500.83837525072636</v>
      </c>
      <c r="AO17" s="366">
        <f>(102*'Emissions Factors'!$D$10*'Calcs - Power'!$B16+'Emissions Factors'!$D$11*('Calcs - Power'!$C16+'Calcs - Power'!$D16+'Calcs - Power'!$E16+'Calcs - Power'!$F16))</f>
        <v>1325.1171395436095</v>
      </c>
      <c r="AP17" s="367">
        <f>(102*'Emissions Factors'!$E$10*'Calcs - Power'!$G16+'Emissions Factors'!$E$11*('Calcs - Power'!H16+'Calcs - Power'!I16+'Calcs - Power'!J16+'Calcs - Power'!K16))</f>
        <v>393.99731969794482</v>
      </c>
      <c r="AQ17" s="366">
        <f>(102*'Emissions Factors'!$E$10*'Calcs - Power'!$B16+'Emissions Factors'!$E$11*('Calcs - Power'!C16+'Calcs - Power'!D16+'Calcs - Power'!E16+'Calcs - Power'!F16))</f>
        <v>1034.315386386583</v>
      </c>
      <c r="AS17" s="357"/>
      <c r="AT17" s="357"/>
      <c r="AU17" s="357"/>
      <c r="AV17" s="357"/>
      <c r="AX17" s="358">
        <f t="shared" si="13"/>
        <v>5</v>
      </c>
      <c r="AY17" s="359">
        <f>(('Methane Leakage'!$G$6/'Methane Leakage'!$G$5)*102*'Emissions Factors'!$F$10*'Calcs - Power'!$G16+'Emissions Factors'!$F$11*('Calcs - Power'!$H16+'Calcs - Power'!$I16+'Calcs - Power'!$J16+'Calcs - Power'!$K16))</f>
        <v>617718.9482793184</v>
      </c>
      <c r="AZ17" s="366">
        <f>(('Methane Leakage'!$G$6/'Methane Leakage'!$G$5)*102*'Emissions Factors'!$F$10*'Calcs - Power'!$B16+'Emissions Factors'!$F$11*('Calcs - Power'!$C16+'Calcs - Power'!$D16+'Calcs - Power'!$E16+'Calcs - Power'!$F16))</f>
        <v>1631515.6606548256</v>
      </c>
      <c r="BA17" s="359">
        <f>(102*'Emissions Factors'!$G$10*'Calcs - Power'!$G16+'Emissions Factors'!$G$11*('Calcs - Power'!H16+'Calcs - Power'!I16+'Calcs - Power'!J16+'Calcs - Power'!K16))</f>
        <v>447686.52436941123</v>
      </c>
      <c r="BB17" s="366">
        <f>(102*'Emissions Factors'!$G$10*'Calcs - Power'!$B16+'Emissions Factors'!$G$11*('Calcs - Power'!C16+'Calcs - Power'!D16+'Calcs - Power'!E16+'Calcs - Power'!F16))</f>
        <v>1174809.5297966718</v>
      </c>
      <c r="BC17" s="359">
        <f>(102*'Emissions Factors'!$F$10*'Calcs - Power'!$G16+'Emissions Factors'!$F$11*('Calcs - Power'!$H16+'Calcs - Power'!$I16+'Calcs - Power'!$J16+'Calcs - Power'!$K16))</f>
        <v>617718.9482793184</v>
      </c>
      <c r="BD17" s="366">
        <f>(102*'Emissions Factors'!$F$10*'Calcs - Power'!$B16+'Emissions Factors'!$F$11*('Calcs - Power'!$C16+'Calcs - Power'!$D16+'Calcs - Power'!$E16+'Calcs - Power'!$F16))</f>
        <v>1631515.6606548256</v>
      </c>
      <c r="BE17" s="359">
        <f>(102*'Emissions Factors'!$G$10*'Calcs - Power'!$G16+'Emissions Factors'!$G$11*('Calcs - Power'!H16+'Calcs - Power'!I16+'Calcs - Power'!J16+'Calcs - Power'!K16))</f>
        <v>447686.52436941123</v>
      </c>
      <c r="BF17" s="366">
        <f>(102*'Emissions Factors'!$G$10*'Calcs - Power'!$B16+'Emissions Factors'!$G$11*('Calcs - Power'!C16+'Calcs - Power'!D16+'Calcs - Power'!E16+'Calcs - Power'!F16))</f>
        <v>1174809.5297966718</v>
      </c>
    </row>
    <row r="18" spans="1:58" x14ac:dyDescent="0.3">
      <c r="A18" s="351">
        <f t="shared" si="10"/>
        <v>6</v>
      </c>
      <c r="B18" s="352">
        <f t="shared" si="0"/>
        <v>1</v>
      </c>
      <c r="C18" s="363">
        <f t="shared" si="1"/>
        <v>1</v>
      </c>
      <c r="D18" s="352">
        <f t="shared" si="2"/>
        <v>1</v>
      </c>
      <c r="E18" s="364">
        <f t="shared" si="3"/>
        <v>1</v>
      </c>
      <c r="F18" s="364">
        <f t="shared" si="4"/>
        <v>1</v>
      </c>
      <c r="G18" s="365">
        <f t="shared" si="5"/>
        <v>1</v>
      </c>
      <c r="P18" s="358">
        <f t="shared" si="11"/>
        <v>6</v>
      </c>
      <c r="Q18" s="359">
        <f>(('Methane Leakage'!$C$6/'Methane Leakage'!$C$5)*102*'Emissions Factors'!$C$38*'Calcs - Power'!$G17+'Emissions Factors'!$C$37*('Calcs - Power'!$H17+'Calcs - Power'!$I17+'Calcs - Power'!$J17+'Calcs - Power'!$K17))</f>
        <v>3853.9624151184776</v>
      </c>
      <c r="R18" s="366">
        <f>(('Methane Leakage'!$C$6/'Methane Leakage'!$C$5)*102*'Emissions Factors'!$C$38*'Calcs - Power'!$B17+'Emissions Factors'!$C$37*('Calcs - Power'!$C17+'Calcs - Power'!$D17+'Calcs - Power'!$E17+'Calcs - Power'!$F17))</f>
        <v>12294.05838885839</v>
      </c>
      <c r="S18" s="359">
        <f>(('Methane Leakage'!$C$6/'Methane Leakage'!$C$5)*102*'Emissions Factors'!$D$38*'Calcs - Power'!$G17+'Emissions Factors'!$D$37*('Calcs - Power'!$H17+'Calcs - Power'!$I17+'Calcs - Power'!$J17+'Calcs - Power'!$K17))</f>
        <v>3853.9624151184776</v>
      </c>
      <c r="T18" s="366">
        <f>(('Methane Leakage'!$C$6/'Methane Leakage'!$C$5)*102*'Emissions Factors'!$D$38*'Calcs - Power'!$B17+'Emissions Factors'!$D$37*('Calcs - Power'!$C17+'Calcs - Power'!$D17+'Calcs - Power'!$E17+'Calcs - Power'!$F17))</f>
        <v>12294.05838885839</v>
      </c>
      <c r="U18" s="361">
        <f>(102*'Emissions Factors'!$C$36*'Calcs - Power'!$G17+'Emissions Factors'!$C$35*('Calcs - Power'!$H17+'Calcs - Power'!$I17+'Calcs - Power'!$J17+'Calcs - Power'!$K17))</f>
        <v>5042.5782455277831</v>
      </c>
      <c r="V18" s="366">
        <f>(102*'Emissions Factors'!$C$36*'Calcs - Power'!$B17+'Emissions Factors'!$C$35*('Calcs - Power'!$C17+'Calcs - Power'!$D17+'Calcs - Power'!$E17+'Calcs - Power'!$F17))</f>
        <v>15917.037168928591</v>
      </c>
      <c r="W18" s="359">
        <f>(102*'Emissions Factors'!$D$36*'Calcs - Power'!$G17+'Emissions Factors'!$D$35*('Calcs - Power'!$H17+'Calcs - Power'!$I17+'Calcs - Power'!$J17+'Calcs - Power'!$K17))</f>
        <v>5042.5782455277831</v>
      </c>
      <c r="X18" s="366">
        <f>(102*'Emissions Factors'!$D$36*'Calcs - Power'!$B17+'Emissions Factors'!$D$35*('Calcs - Power'!$C17+'Calcs - Power'!$D17+'Calcs - Power'!$E17+'Calcs - Power'!$F17))</f>
        <v>15917.037168928591</v>
      </c>
      <c r="Y18" s="359">
        <f>(102*'Emissions Factors'!$C$38*'Calcs - Power'!$G17+'Emissions Factors'!$C$37*('Calcs - Power'!$H17+'Calcs - Power'!$I17+'Calcs - Power'!$J17+'Calcs - Power'!$K17))</f>
        <v>3853.9624151184776</v>
      </c>
      <c r="Z18" s="366">
        <f>(102*'Emissions Factors'!$C$38*'Calcs - Power'!$B17+'Emissions Factors'!$C$37*('Calcs - Power'!$C17+'Calcs - Power'!$D17+'Calcs - Power'!$E17+'Calcs - Power'!$F17))</f>
        <v>12294.05838885839</v>
      </c>
      <c r="AA18" s="359">
        <f>(102*'Emissions Factors'!$C$36*'Calcs - Power'!$G17+'Emissions Factors'!$C$35*('Calcs - Power'!$H17+'Calcs - Power'!$I17+'Calcs - Power'!$J17+'Calcs - Power'!$K17))</f>
        <v>5042.5782455277831</v>
      </c>
      <c r="AB18" s="366">
        <f>(102*'Emissions Factors'!$C$36*'Calcs - Power'!$B17+'Emissions Factors'!$C$35*('Calcs - Power'!$C17+'Calcs - Power'!$D17+'Calcs - Power'!$E17+'Calcs - Power'!$F17))</f>
        <v>15917.037168928591</v>
      </c>
      <c r="AI18" s="358">
        <f t="shared" si="12"/>
        <v>6</v>
      </c>
      <c r="AJ18" s="359">
        <f>(('Methane Leakage'!$G$6/'Methane Leakage'!$G$5)*102*'Emissions Factors'!$D$10*'Calcs - Power'!$G17+'Emissions Factors'!$D$11*('Calcs - Power'!$H17+'Calcs - Power'!$I17+'Calcs - Power'!$J17+'Calcs - Power'!$K17))</f>
        <v>584.11171813171313</v>
      </c>
      <c r="AK18" s="366">
        <f>(('Methane Leakage'!$G$6/'Methane Leakage'!$G$5)*102*'Emissions Factors'!$D$10*'Calcs - Power'!$B17+'Emissions Factors'!$D$11*('Calcs - Power'!$C17+'Calcs - Power'!$D17+'Calcs - Power'!$E17+'Calcs - Power'!$F17))</f>
        <v>1867.9440262702101</v>
      </c>
      <c r="AL18" s="359">
        <f>(102*'Emissions Factors'!$E$10*'Calcs - Power'!$G17+'Emissions Factors'!$E$11*('Calcs - Power'!H17+'Calcs - Power'!I17+'Calcs - Power'!J17+'Calcs - Power'!K17))</f>
        <v>462.95111967006983</v>
      </c>
      <c r="AM18" s="366">
        <f>(102*'Emissions Factors'!$E$10*'Calcs - Power'!$B17+'Emissions Factors'!$E$11*('Calcs - Power'!C17+'Calcs - Power'!D17+'Calcs - Power'!E17+'Calcs - Power'!F17))</f>
        <v>1462.9558989028069</v>
      </c>
      <c r="AN18" s="359">
        <f>(102*'Emissions Factors'!$D$10*'Calcs - Power'!$G17+'Emissions Factors'!$D$11*('Calcs - Power'!$H17+'Calcs - Power'!$I17+'Calcs - Power'!$J17+'Calcs - Power'!$K17))</f>
        <v>584.11171813171313</v>
      </c>
      <c r="AO18" s="366">
        <f>(102*'Emissions Factors'!$D$10*'Calcs - Power'!$B17+'Emissions Factors'!$D$11*('Calcs - Power'!$C17+'Calcs - Power'!$D17+'Calcs - Power'!$E17+'Calcs - Power'!$F17))</f>
        <v>1867.9440262702101</v>
      </c>
      <c r="AP18" s="367">
        <f>(102*'Emissions Factors'!$E$10*'Calcs - Power'!$G17+'Emissions Factors'!$E$11*('Calcs - Power'!H17+'Calcs - Power'!I17+'Calcs - Power'!J17+'Calcs - Power'!K17))</f>
        <v>462.95111967006983</v>
      </c>
      <c r="AQ18" s="366">
        <f>(102*'Emissions Factors'!$E$10*'Calcs - Power'!$B17+'Emissions Factors'!$E$11*('Calcs - Power'!C17+'Calcs - Power'!D17+'Calcs - Power'!E17+'Calcs - Power'!F17))</f>
        <v>1462.9558989028069</v>
      </c>
      <c r="AS18" s="357"/>
      <c r="AT18" s="357"/>
      <c r="AU18" s="357"/>
      <c r="AV18" s="368"/>
      <c r="AX18" s="358">
        <f t="shared" si="13"/>
        <v>6</v>
      </c>
      <c r="AY18" s="359">
        <f>(('Methane Leakage'!$G$6/'Methane Leakage'!$G$5)*102*'Emissions Factors'!$F$10*'Calcs - Power'!$G17+'Emissions Factors'!$F$11*('Calcs - Power'!$H17+'Calcs - Power'!$I17+'Calcs - Power'!$J17+'Calcs - Power'!$K17))</f>
        <v>721631.92579482961</v>
      </c>
      <c r="AZ18" s="366">
        <f>(('Methane Leakage'!$G$6/'Methane Leakage'!$G$5)*102*'Emissions Factors'!$F$10*'Calcs - Power'!$B17+'Emissions Factors'!$F$11*('Calcs - Power'!$C17+'Calcs - Power'!$D17+'Calcs - Power'!$E17+'Calcs - Power'!$F17))</f>
        <v>2301586.358500652</v>
      </c>
      <c r="BA18" s="359">
        <f>(102*'Emissions Factors'!$G$10*'Calcs - Power'!$G17+'Emissions Factors'!$G$11*('Calcs - Power'!H17+'Calcs - Power'!I17+'Calcs - Power'!J17+'Calcs - Power'!K17))</f>
        <v>526227.32494587253</v>
      </c>
      <c r="BB18" s="366">
        <f>(102*'Emissions Factors'!$G$10*'Calcs - Power'!$B17+'Emissions Factors'!$G$11*('Calcs - Power'!C17+'Calcs - Power'!D17+'Calcs - Power'!E17+'Calcs - Power'!F17))</f>
        <v>1661949.287359094</v>
      </c>
      <c r="BC18" s="359">
        <f>(102*'Emissions Factors'!$F$10*'Calcs - Power'!$G17+'Emissions Factors'!$F$11*('Calcs - Power'!$H17+'Calcs - Power'!$I17+'Calcs - Power'!$J17+'Calcs - Power'!$K17))</f>
        <v>721631.92579482961</v>
      </c>
      <c r="BD18" s="366">
        <f>(102*'Emissions Factors'!$F$10*'Calcs - Power'!$B17+'Emissions Factors'!$F$11*('Calcs - Power'!$C17+'Calcs - Power'!$D17+'Calcs - Power'!$E17+'Calcs - Power'!$F17))</f>
        <v>2301586.358500652</v>
      </c>
      <c r="BE18" s="359">
        <f>(102*'Emissions Factors'!$G$10*'Calcs - Power'!$G17+'Emissions Factors'!$G$11*('Calcs - Power'!H17+'Calcs - Power'!I17+'Calcs - Power'!J17+'Calcs - Power'!K17))</f>
        <v>526227.32494587253</v>
      </c>
      <c r="BF18" s="366">
        <f>(102*'Emissions Factors'!$G$10*'Calcs - Power'!$B17+'Emissions Factors'!$G$11*('Calcs - Power'!C17+'Calcs - Power'!D17+'Calcs - Power'!E17+'Calcs - Power'!F17))</f>
        <v>1661949.287359094</v>
      </c>
    </row>
    <row r="19" spans="1:58" x14ac:dyDescent="0.3">
      <c r="A19" s="351">
        <f t="shared" si="10"/>
        <v>7</v>
      </c>
      <c r="B19" s="352">
        <f t="shared" si="0"/>
        <v>1</v>
      </c>
      <c r="C19" s="363">
        <f t="shared" si="1"/>
        <v>0.99999999999999989</v>
      </c>
      <c r="D19" s="352">
        <f t="shared" si="2"/>
        <v>1</v>
      </c>
      <c r="E19" s="364">
        <f t="shared" si="3"/>
        <v>1</v>
      </c>
      <c r="F19" s="364">
        <f t="shared" si="4"/>
        <v>1</v>
      </c>
      <c r="G19" s="365">
        <f t="shared" si="5"/>
        <v>1</v>
      </c>
      <c r="P19" s="358">
        <f t="shared" si="11"/>
        <v>7</v>
      </c>
      <c r="Q19" s="359">
        <f>(('Methane Leakage'!$C$6/'Methane Leakage'!$C$5)*102*'Emissions Factors'!$C$38*'Calcs - Power'!$G18+'Emissions Factors'!$C$37*('Calcs - Power'!$H18+'Calcs - Power'!$I18+'Calcs - Power'!$J18+'Calcs - Power'!$K18))</f>
        <v>4384.1786244725836</v>
      </c>
      <c r="R19" s="366">
        <f>(('Methane Leakage'!$C$6/'Methane Leakage'!$C$5)*102*'Emissions Factors'!$C$38*'Calcs - Power'!$B18+'Emissions Factors'!$C$37*('Calcs - Power'!$C18+'Calcs - Power'!$D18+'Calcs - Power'!$E18+'Calcs - Power'!$F18))</f>
        <v>16415.072790849932</v>
      </c>
      <c r="S19" s="359">
        <f>(('Methane Leakage'!$C$6/'Methane Leakage'!$C$5)*102*'Emissions Factors'!$D$38*'Calcs - Power'!$G18+'Emissions Factors'!$D$37*('Calcs - Power'!$H18+'Calcs - Power'!$I18+'Calcs - Power'!$J18+'Calcs - Power'!$K18))</f>
        <v>4384.1786244725836</v>
      </c>
      <c r="T19" s="366">
        <f>(('Methane Leakage'!$C$6/'Methane Leakage'!$C$5)*102*'Emissions Factors'!$D$38*'Calcs - Power'!$B18+'Emissions Factors'!$D$37*('Calcs - Power'!$C18+'Calcs - Power'!$D18+'Calcs - Power'!$E18+'Calcs - Power'!$F18))</f>
        <v>16415.072790849932</v>
      </c>
      <c r="U19" s="361">
        <f>(102*'Emissions Factors'!$C$36*'Calcs - Power'!$G18+'Emissions Factors'!$C$35*('Calcs - Power'!$H18+'Calcs - Power'!$I18+'Calcs - Power'!$J18+'Calcs - Power'!$K18))</f>
        <v>5777.2879290467608</v>
      </c>
      <c r="V19" s="366">
        <f>(102*'Emissions Factors'!$C$36*'Calcs - Power'!$B18+'Emissions Factors'!$C$35*('Calcs - Power'!$C18+'Calcs - Power'!$D18+'Calcs - Power'!$E18+'Calcs - Power'!$F18))</f>
        <v>21328.508691879717</v>
      </c>
      <c r="W19" s="359">
        <f>(102*'Emissions Factors'!$D$36*'Calcs - Power'!$G18+'Emissions Factors'!$D$35*('Calcs - Power'!$H18+'Calcs - Power'!$I18+'Calcs - Power'!$J18+'Calcs - Power'!$K18))</f>
        <v>5777.2879290467608</v>
      </c>
      <c r="X19" s="366">
        <f>(102*'Emissions Factors'!$D$36*'Calcs - Power'!$B18+'Emissions Factors'!$D$35*('Calcs - Power'!$C18+'Calcs - Power'!$D18+'Calcs - Power'!$E18+'Calcs - Power'!$F18))</f>
        <v>21328.508691879717</v>
      </c>
      <c r="Y19" s="359">
        <f>(102*'Emissions Factors'!$C$38*'Calcs - Power'!$G18+'Emissions Factors'!$C$37*('Calcs - Power'!$H18+'Calcs - Power'!$I18+'Calcs - Power'!$J18+'Calcs - Power'!$K18))</f>
        <v>4384.1786244725836</v>
      </c>
      <c r="Z19" s="366">
        <f>(102*'Emissions Factors'!$C$38*'Calcs - Power'!$B18+'Emissions Factors'!$C$37*('Calcs - Power'!$C18+'Calcs - Power'!$D18+'Calcs - Power'!$E18+'Calcs - Power'!$F18))</f>
        <v>16415.072790849932</v>
      </c>
      <c r="AA19" s="359">
        <f>(102*'Emissions Factors'!$C$36*'Calcs - Power'!$G18+'Emissions Factors'!$C$35*('Calcs - Power'!$H18+'Calcs - Power'!$I18+'Calcs - Power'!$J18+'Calcs - Power'!$K18))</f>
        <v>5777.2879290467608</v>
      </c>
      <c r="AB19" s="366">
        <f>(102*'Emissions Factors'!$C$36*'Calcs - Power'!$B18+'Emissions Factors'!$C$35*('Calcs - Power'!$C18+'Calcs - Power'!$D18+'Calcs - Power'!$E18+'Calcs - Power'!$F18))</f>
        <v>21328.508691879717</v>
      </c>
      <c r="AI19" s="358">
        <f t="shared" si="12"/>
        <v>7</v>
      </c>
      <c r="AJ19" s="359">
        <f>(('Methane Leakage'!$G$6/'Methane Leakage'!$G$5)*102*'Emissions Factors'!$D$10*'Calcs - Power'!$G18+'Emissions Factors'!$D$11*('Calcs - Power'!$H18+'Calcs - Power'!$I18+'Calcs - Power'!$J18+'Calcs - Power'!$K18))</f>
        <v>663.34507582805202</v>
      </c>
      <c r="AK19" s="366">
        <f>(('Methane Leakage'!$G$6/'Methane Leakage'!$G$5)*102*'Emissions Factors'!$D$10*'Calcs - Power'!$B18+'Emissions Factors'!$D$11*('Calcs - Power'!$C18+'Calcs - Power'!$D18+'Calcs - Power'!$E18+'Calcs - Power'!$F18))</f>
        <v>2491.9946850778724</v>
      </c>
      <c r="AL19" s="359">
        <f>(102*'Emissions Factors'!$E$10*'Calcs - Power'!$G18+'Emissions Factors'!$E$11*('Calcs - Power'!H18+'Calcs - Power'!I18+'Calcs - Power'!J18+'Calcs - Power'!K18))</f>
        <v>530.00584709982309</v>
      </c>
      <c r="AM19" s="366">
        <f>(102*'Emissions Factors'!$E$10*'Calcs - Power'!$B18+'Emissions Factors'!$E$11*('Calcs - Power'!C18+'Calcs - Power'!D18+'Calcs - Power'!E18+'Calcs - Power'!F18))</f>
        <v>1959.5853821334015</v>
      </c>
      <c r="AN19" s="359">
        <f>(102*'Emissions Factors'!$D$10*'Calcs - Power'!$G18+'Emissions Factors'!$D$11*('Calcs - Power'!$H18+'Calcs - Power'!$I18+'Calcs - Power'!$J18+'Calcs - Power'!$K18))</f>
        <v>663.34507582805202</v>
      </c>
      <c r="AO19" s="366">
        <f>(102*'Emissions Factors'!$D$10*'Calcs - Power'!$B18+'Emissions Factors'!$D$11*('Calcs - Power'!$C18+'Calcs - Power'!$D18+'Calcs - Power'!$E18+'Calcs - Power'!$F18))</f>
        <v>2491.9946850778724</v>
      </c>
      <c r="AP19" s="367">
        <f>(102*'Emissions Factors'!$E$10*'Calcs - Power'!$G18+'Emissions Factors'!$E$11*('Calcs - Power'!H18+'Calcs - Power'!I18+'Calcs - Power'!J18+'Calcs - Power'!K18))</f>
        <v>530.00584709982309</v>
      </c>
      <c r="AQ19" s="366">
        <f>(102*'Emissions Factors'!$E$10*'Calcs - Power'!$B18+'Emissions Factors'!$E$11*('Calcs - Power'!C18+'Calcs - Power'!D18+'Calcs - Power'!E18+'Calcs - Power'!F18))</f>
        <v>1959.5853821334015</v>
      </c>
      <c r="AS19" s="357"/>
      <c r="AT19" s="357"/>
      <c r="AU19" s="357"/>
      <c r="AV19" s="357"/>
      <c r="AX19" s="358">
        <f t="shared" si="13"/>
        <v>7</v>
      </c>
      <c r="AY19" s="359">
        <f>(('Methane Leakage'!$G$6/'Methane Leakage'!$G$5)*102*'Emissions Factors'!$F$10*'Calcs - Power'!$G18+'Emissions Factors'!$F$11*('Calcs - Power'!$H18+'Calcs - Power'!$I18+'Calcs - Power'!$J18+'Calcs - Power'!$K18))</f>
        <v>821009.97457445599</v>
      </c>
      <c r="AZ19" s="366">
        <f>(('Methane Leakage'!$G$6/'Methane Leakage'!$G$5)*102*'Emissions Factors'!$F$10*'Calcs - Power'!$B18+'Emissions Factors'!$F$11*('Calcs - Power'!$C18+'Calcs - Power'!$D18+'Calcs - Power'!$E18+'Calcs - Power'!$F18))</f>
        <v>3073268.8812064696</v>
      </c>
      <c r="BA19" s="359">
        <f>(102*'Emissions Factors'!$G$10*'Calcs - Power'!$G18+'Emissions Factors'!$G$11*('Calcs - Power'!H18+'Calcs - Power'!I18+'Calcs - Power'!J18+'Calcs - Power'!K18))</f>
        <v>602681.12118006987</v>
      </c>
      <c r="BB19" s="366">
        <f>(102*'Emissions Factors'!$G$10*'Calcs - Power'!$B18+'Emissions Factors'!$G$11*('Calcs - Power'!C18+'Calcs - Power'!D18+'Calcs - Power'!E18+'Calcs - Power'!F18))</f>
        <v>2226569.40817243</v>
      </c>
      <c r="BC19" s="359">
        <f>(102*'Emissions Factors'!$F$10*'Calcs - Power'!$G18+'Emissions Factors'!$F$11*('Calcs - Power'!$H18+'Calcs - Power'!$I18+'Calcs - Power'!$J18+'Calcs - Power'!$K18))</f>
        <v>821009.97457445599</v>
      </c>
      <c r="BD19" s="366">
        <f>(102*'Emissions Factors'!$F$10*'Calcs - Power'!$B18+'Emissions Factors'!$F$11*('Calcs - Power'!$C18+'Calcs - Power'!$D18+'Calcs - Power'!$E18+'Calcs - Power'!$F18))</f>
        <v>3073268.8812064696</v>
      </c>
      <c r="BE19" s="359">
        <f>(102*'Emissions Factors'!$G$10*'Calcs - Power'!$G18+'Emissions Factors'!$G$11*('Calcs - Power'!H18+'Calcs - Power'!I18+'Calcs - Power'!J18+'Calcs - Power'!K18))</f>
        <v>602681.12118006987</v>
      </c>
      <c r="BF19" s="366">
        <f>(102*'Emissions Factors'!$G$10*'Calcs - Power'!$B18+'Emissions Factors'!$G$11*('Calcs - Power'!C18+'Calcs - Power'!D18+'Calcs - Power'!E18+'Calcs - Power'!F18))</f>
        <v>2226569.40817243</v>
      </c>
    </row>
    <row r="20" spans="1:58" x14ac:dyDescent="0.3">
      <c r="A20" s="351">
        <f t="shared" si="10"/>
        <v>8</v>
      </c>
      <c r="B20" s="352">
        <f t="shared" si="0"/>
        <v>0.99999999999999978</v>
      </c>
      <c r="C20" s="363">
        <f t="shared" si="1"/>
        <v>0.99999999999999978</v>
      </c>
      <c r="D20" s="352">
        <f t="shared" si="2"/>
        <v>1</v>
      </c>
      <c r="E20" s="364">
        <f t="shared" si="3"/>
        <v>1</v>
      </c>
      <c r="F20" s="364">
        <f t="shared" si="4"/>
        <v>1</v>
      </c>
      <c r="G20" s="365">
        <f t="shared" si="5"/>
        <v>1</v>
      </c>
      <c r="O20" s="325"/>
      <c r="P20" s="358">
        <f t="shared" si="11"/>
        <v>8</v>
      </c>
      <c r="Q20" s="359">
        <f>(('Methane Leakage'!$C$6/'Methane Leakage'!$C$5)*102*'Emissions Factors'!$C$38*'Calcs - Power'!$G19+'Emissions Factors'!$C$37*('Calcs - Power'!$H19+'Calcs - Power'!$I19+'Calcs - Power'!$J19+'Calcs - Power'!$K19))</f>
        <v>4891.9874848573509</v>
      </c>
      <c r="R20" s="366">
        <f>(('Methane Leakage'!$C$6/'Methane Leakage'!$C$5)*102*'Emissions Factors'!$C$38*'Calcs - Power'!$B19+'Emissions Factors'!$C$37*('Calcs - Power'!$C19+'Calcs - Power'!$D19+'Calcs - Power'!$E19+'Calcs - Power'!$F19))</f>
        <v>21054.949582055036</v>
      </c>
      <c r="S20" s="359">
        <f>(('Methane Leakage'!$C$6/'Methane Leakage'!$C$5)*102*'Emissions Factors'!$D$38*'Calcs - Power'!$G19+'Emissions Factors'!$D$37*('Calcs - Power'!$H19+'Calcs - Power'!$I19+'Calcs - Power'!$J19+'Calcs - Power'!$K19))</f>
        <v>4891.9874848573509</v>
      </c>
      <c r="T20" s="366">
        <f>(('Methane Leakage'!$C$6/'Methane Leakage'!$C$5)*102*'Emissions Factors'!$D$38*'Calcs - Power'!$B19+'Emissions Factors'!$D$37*('Calcs - Power'!$C19+'Calcs - Power'!$D19+'Calcs - Power'!$E19+'Calcs - Power'!$F19))</f>
        <v>21054.949582055036</v>
      </c>
      <c r="U20" s="361">
        <f>(102*'Emissions Factors'!$C$36*'Calcs - Power'!$G19+'Emissions Factors'!$C$35*('Calcs - Power'!$H19+'Calcs - Power'!$I19+'Calcs - Power'!$J19+'Calcs - Power'!$K19))</f>
        <v>6494.2340930137725</v>
      </c>
      <c r="V20" s="366">
        <f>(102*'Emissions Factors'!$C$36*'Calcs - Power'!$B19+'Emissions Factors'!$C$35*('Calcs - Power'!$C19+'Calcs - Power'!$D19+'Calcs - Power'!$E19+'Calcs - Power'!$F19))</f>
        <v>27465.695955391573</v>
      </c>
      <c r="W20" s="359">
        <f>(102*'Emissions Factors'!$D$36*'Calcs - Power'!$G19+'Emissions Factors'!$D$35*('Calcs - Power'!$H19+'Calcs - Power'!$I19+'Calcs - Power'!$J19+'Calcs - Power'!$K19))</f>
        <v>6494.2340930137725</v>
      </c>
      <c r="X20" s="366">
        <f>(102*'Emissions Factors'!$D$36*'Calcs - Power'!$B19+'Emissions Factors'!$D$35*('Calcs - Power'!$C19+'Calcs - Power'!$D19+'Calcs - Power'!$E19+'Calcs - Power'!$F19))</f>
        <v>27465.695955391573</v>
      </c>
      <c r="Y20" s="359">
        <f>(102*'Emissions Factors'!$C$38*'Calcs - Power'!$G19+'Emissions Factors'!$C$37*('Calcs - Power'!$H19+'Calcs - Power'!$I19+'Calcs - Power'!$J19+'Calcs - Power'!$K19))</f>
        <v>4891.9874848573509</v>
      </c>
      <c r="Z20" s="366">
        <f>(102*'Emissions Factors'!$C$38*'Calcs - Power'!$B19+'Emissions Factors'!$C$37*('Calcs - Power'!$C19+'Calcs - Power'!$D19+'Calcs - Power'!$E19+'Calcs - Power'!$F19))</f>
        <v>21054.949582055036</v>
      </c>
      <c r="AA20" s="359">
        <f>(102*'Emissions Factors'!$C$36*'Calcs - Power'!$G19+'Emissions Factors'!$C$35*('Calcs - Power'!$H19+'Calcs - Power'!$I19+'Calcs - Power'!$J19+'Calcs - Power'!$K19))</f>
        <v>6494.2340930137725</v>
      </c>
      <c r="AB20" s="366">
        <f>(102*'Emissions Factors'!$C$36*'Calcs - Power'!$B19+'Emissions Factors'!$C$35*('Calcs - Power'!$C19+'Calcs - Power'!$D19+'Calcs - Power'!$E19+'Calcs - Power'!$F19))</f>
        <v>27465.695955391573</v>
      </c>
      <c r="AH20" s="325"/>
      <c r="AI20" s="358">
        <f t="shared" si="12"/>
        <v>8</v>
      </c>
      <c r="AJ20" s="359">
        <f>(('Methane Leakage'!$G$6/'Methane Leakage'!$G$5)*102*'Emissions Factors'!$D$10*'Calcs - Power'!$G19+'Emissions Factors'!$D$11*('Calcs - Power'!$H19+'Calcs - Power'!$I19+'Calcs - Power'!$J19+'Calcs - Power'!$K19))</f>
        <v>738.86450483535214</v>
      </c>
      <c r="AK20" s="366">
        <f>(('Methane Leakage'!$G$6/'Methane Leakage'!$G$5)*102*'Emissions Factors'!$D$10*'Calcs - Power'!$B19+'Emissions Factors'!$D$11*('Calcs - Power'!$C19+'Calcs - Power'!$D19+'Calcs - Power'!$E19+'Calcs - Power'!$F19))</f>
        <v>3193.3966628916614</v>
      </c>
      <c r="AL20" s="359">
        <f>(102*'Emissions Factors'!$E$10*'Calcs - Power'!$G19+'Emissions Factors'!$E$11*('Calcs - Power'!H19+'Calcs - Power'!I19+'Calcs - Power'!J19+'Calcs - Power'!K19))</f>
        <v>595.31753591055735</v>
      </c>
      <c r="AM20" s="366">
        <f>(102*'Emissions Factors'!$E$10*'Calcs - Power'!$B19+'Emissions Factors'!$E$11*('Calcs - Power'!C19+'Calcs - Power'!D19+'Calcs - Power'!E19+'Calcs - Power'!F19))</f>
        <v>2522.3869558441411</v>
      </c>
      <c r="AN20" s="359">
        <f>(102*'Emissions Factors'!$D$10*'Calcs - Power'!$G19+'Emissions Factors'!$D$11*('Calcs - Power'!$H19+'Calcs - Power'!$I19+'Calcs - Power'!$J19+'Calcs - Power'!$K19))</f>
        <v>738.86450483535214</v>
      </c>
      <c r="AO20" s="366">
        <f>(102*'Emissions Factors'!$D$10*'Calcs - Power'!$B19+'Emissions Factors'!$D$11*('Calcs - Power'!$C19+'Calcs - Power'!$D19+'Calcs - Power'!$E19+'Calcs - Power'!$F19))</f>
        <v>3193.3966628916614</v>
      </c>
      <c r="AP20" s="367">
        <f>(102*'Emissions Factors'!$E$10*'Calcs - Power'!$G19+'Emissions Factors'!$E$11*('Calcs - Power'!H19+'Calcs - Power'!I19+'Calcs - Power'!J19+'Calcs - Power'!K19))</f>
        <v>595.31753591055735</v>
      </c>
      <c r="AQ20" s="366">
        <f>(102*'Emissions Factors'!$E$10*'Calcs - Power'!$B19+'Emissions Factors'!$E$11*('Calcs - Power'!C19+'Calcs - Power'!D19+'Calcs - Power'!E19+'Calcs - Power'!F19))</f>
        <v>2522.3869558441411</v>
      </c>
      <c r="AS20" s="357"/>
      <c r="AT20" s="357"/>
      <c r="AU20" s="357"/>
      <c r="AV20" s="357"/>
      <c r="AW20" s="325"/>
      <c r="AX20" s="358">
        <f t="shared" si="13"/>
        <v>8</v>
      </c>
      <c r="AY20" s="359">
        <f>(('Methane Leakage'!$G$6/'Methane Leakage'!$G$5)*102*'Emissions Factors'!$F$10*'Calcs - Power'!$G19+'Emissions Factors'!$F$11*('Calcs - Power'!$H19+'Calcs - Power'!$I19+'Calcs - Power'!$J19+'Calcs - Power'!$K19))</f>
        <v>916220.06478516734</v>
      </c>
      <c r="AZ20" s="366">
        <f>(('Methane Leakage'!$G$6/'Methane Leakage'!$G$5)*102*'Emissions Factors'!$F$10*'Calcs - Power'!$B19+'Emissions Factors'!$F$11*('Calcs - Power'!$C19+'Calcs - Power'!$D19+'Calcs - Power'!$E19+'Calcs - Power'!$F19))</f>
        <v>3942217.5614338461</v>
      </c>
      <c r="BA20" s="359">
        <f>(102*'Emissions Factors'!$G$10*'Calcs - Power'!$G19+'Emissions Factors'!$G$11*('Calcs - Power'!H19+'Calcs - Power'!I19+'Calcs - Power'!J19+'Calcs - Power'!K19))</f>
        <v>677219.64437616884</v>
      </c>
      <c r="BB20" s="366">
        <f>(102*'Emissions Factors'!$G$10*'Calcs - Power'!$B19+'Emissions Factors'!$G$11*('Calcs - Power'!C19+'Calcs - Power'!D19+'Calcs - Power'!E19+'Calcs - Power'!F19))</f>
        <v>2866673.5328813656</v>
      </c>
      <c r="BC20" s="359">
        <f>(102*'Emissions Factors'!$F$10*'Calcs - Power'!$G19+'Emissions Factors'!$F$11*('Calcs - Power'!$H19+'Calcs - Power'!$I19+'Calcs - Power'!$J19+'Calcs - Power'!$K19))</f>
        <v>916220.06478516734</v>
      </c>
      <c r="BD20" s="366">
        <f>(102*'Emissions Factors'!$F$10*'Calcs - Power'!$B19+'Emissions Factors'!$F$11*('Calcs - Power'!$C19+'Calcs - Power'!$D19+'Calcs - Power'!$E19+'Calcs - Power'!$F19))</f>
        <v>3942217.5614338461</v>
      </c>
      <c r="BE20" s="359">
        <f>(102*'Emissions Factors'!$G$10*'Calcs - Power'!$G19+'Emissions Factors'!$G$11*('Calcs - Power'!H19+'Calcs - Power'!I19+'Calcs - Power'!J19+'Calcs - Power'!K19))</f>
        <v>677219.64437616884</v>
      </c>
      <c r="BF20" s="366">
        <f>(102*'Emissions Factors'!$G$10*'Calcs - Power'!$B19+'Emissions Factors'!$G$11*('Calcs - Power'!C19+'Calcs - Power'!D19+'Calcs - Power'!E19+'Calcs - Power'!F19))</f>
        <v>2866673.5328813656</v>
      </c>
    </row>
    <row r="21" spans="1:58" x14ac:dyDescent="0.3">
      <c r="A21" s="351">
        <f t="shared" si="10"/>
        <v>9</v>
      </c>
      <c r="B21" s="352">
        <f t="shared" si="0"/>
        <v>0.99999999999999978</v>
      </c>
      <c r="C21" s="363">
        <f t="shared" si="1"/>
        <v>0.99999999999999989</v>
      </c>
      <c r="D21" s="352">
        <f t="shared" si="2"/>
        <v>1</v>
      </c>
      <c r="E21" s="364">
        <f t="shared" si="3"/>
        <v>1</v>
      </c>
      <c r="F21" s="364">
        <f t="shared" si="4"/>
        <v>1</v>
      </c>
      <c r="G21" s="365">
        <f t="shared" si="5"/>
        <v>1</v>
      </c>
      <c r="O21" s="369"/>
      <c r="P21" s="358">
        <f t="shared" si="11"/>
        <v>9</v>
      </c>
      <c r="Q21" s="359">
        <f>(('Methane Leakage'!$C$6/'Methane Leakage'!$C$5)*102*'Emissions Factors'!$C$38*'Calcs - Power'!$G20+'Emissions Factors'!$C$37*('Calcs - Power'!$H20+'Calcs - Power'!$I20+'Calcs - Power'!$J20+'Calcs - Power'!$K20))</f>
        <v>5379.072753778255</v>
      </c>
      <c r="R21" s="366">
        <f>(('Methane Leakage'!$C$6/'Methane Leakage'!$C$5)*102*'Emissions Factors'!$C$38*'Calcs - Power'!$B20+'Emissions Factors'!$C$37*('Calcs - Power'!$C20+'Calcs - Power'!$D20+'Calcs - Power'!$E20+'Calcs - Power'!$F20))</f>
        <v>26192.141901220384</v>
      </c>
      <c r="S21" s="359">
        <f>(('Methane Leakage'!$C$6/'Methane Leakage'!$C$5)*102*'Emissions Factors'!$D$38*'Calcs - Power'!$G20+'Emissions Factors'!$D$37*('Calcs - Power'!$H20+'Calcs - Power'!$I20+'Calcs - Power'!$J20+'Calcs - Power'!$K20))</f>
        <v>5379.072753778255</v>
      </c>
      <c r="T21" s="366">
        <f>(('Methane Leakage'!$C$6/'Methane Leakage'!$C$5)*102*'Emissions Factors'!$D$38*'Calcs - Power'!$B20+'Emissions Factors'!$D$37*('Calcs - Power'!$C20+'Calcs - Power'!$D20+'Calcs - Power'!$E20+'Calcs - Power'!$F20))</f>
        <v>26192.141901220384</v>
      </c>
      <c r="U21" s="361">
        <f>(102*'Emissions Factors'!$C$36*'Calcs - Power'!$G20+'Emissions Factors'!$C$35*('Calcs - Power'!$H20+'Calcs - Power'!$I20+'Calcs - Power'!$J20+'Calcs - Power'!$K20))</f>
        <v>7194.615921980746</v>
      </c>
      <c r="V21" s="366">
        <f>(102*'Emissions Factors'!$C$36*'Calcs - Power'!$B20+'Emissions Factors'!$C$35*('Calcs - Power'!$C20+'Calcs - Power'!$D20+'Calcs - Power'!$E20+'Calcs - Power'!$F20))</f>
        <v>34311.457542828852</v>
      </c>
      <c r="W21" s="359">
        <f>(102*'Emissions Factors'!$D$36*'Calcs - Power'!$G20+'Emissions Factors'!$D$35*('Calcs - Power'!$H20+'Calcs - Power'!$I20+'Calcs - Power'!$J20+'Calcs - Power'!$K20))</f>
        <v>7194.615921980746</v>
      </c>
      <c r="X21" s="366">
        <f>(102*'Emissions Factors'!$D$36*'Calcs - Power'!$B20+'Emissions Factors'!$D$35*('Calcs - Power'!$C20+'Calcs - Power'!$D20+'Calcs - Power'!$E20+'Calcs - Power'!$F20))</f>
        <v>34311.457542828852</v>
      </c>
      <c r="Y21" s="359">
        <f>(102*'Emissions Factors'!$C$38*'Calcs - Power'!$G20+'Emissions Factors'!$C$37*('Calcs - Power'!$H20+'Calcs - Power'!$I20+'Calcs - Power'!$J20+'Calcs - Power'!$K20))</f>
        <v>5379.072753778255</v>
      </c>
      <c r="Z21" s="366">
        <f>(102*'Emissions Factors'!$C$38*'Calcs - Power'!$B20+'Emissions Factors'!$C$37*('Calcs - Power'!$C20+'Calcs - Power'!$D20+'Calcs - Power'!$E20+'Calcs - Power'!$F20))</f>
        <v>26192.141901220384</v>
      </c>
      <c r="AA21" s="359">
        <f>(102*'Emissions Factors'!$C$36*'Calcs - Power'!$G20+'Emissions Factors'!$C$35*('Calcs - Power'!$H20+'Calcs - Power'!$I20+'Calcs - Power'!$J20+'Calcs - Power'!$K20))</f>
        <v>7194.615921980746</v>
      </c>
      <c r="AB21" s="366">
        <f>(102*'Emissions Factors'!$C$36*'Calcs - Power'!$B20+'Emissions Factors'!$C$35*('Calcs - Power'!$C20+'Calcs - Power'!$D20+'Calcs - Power'!$E20+'Calcs - Power'!$F20))</f>
        <v>34311.457542828852</v>
      </c>
      <c r="AH21" s="369"/>
      <c r="AI21" s="358">
        <f t="shared" si="12"/>
        <v>9</v>
      </c>
      <c r="AJ21" s="359">
        <f>(('Methane Leakage'!$G$6/'Methane Leakage'!$G$5)*102*'Emissions Factors'!$D$10*'Calcs - Power'!$G20+'Emissions Factors'!$D$11*('Calcs - Power'!$H20+'Calcs - Power'!$I20+'Calcs - Power'!$J20+'Calcs - Power'!$K20))</f>
        <v>810.95281188464924</v>
      </c>
      <c r="AK21" s="366">
        <f>(('Methane Leakage'!$G$6/'Methane Leakage'!$G$5)*102*'Emissions Factors'!$D$10*'Calcs - Power'!$B20+'Emissions Factors'!$D$11*('Calcs - Power'!$C20+'Calcs - Power'!$D20+'Calcs - Power'!$E20+'Calcs - Power'!$F20))</f>
        <v>3968.5803053354894</v>
      </c>
      <c r="AL21" s="359">
        <f>(102*'Emissions Factors'!$E$10*'Calcs - Power'!$G20+'Emissions Factors'!$E$11*('Calcs - Power'!H20+'Calcs - Power'!I20+'Calcs - Power'!J20+'Calcs - Power'!K20))</f>
        <v>659.00602916275943</v>
      </c>
      <c r="AM21" s="366">
        <f>(102*'Emissions Factors'!$E$10*'Calcs - Power'!$B20+'Emissions Factors'!$E$11*('Calcs - Power'!C20+'Calcs - Power'!D20+'Calcs - Power'!E20+'Calcs - Power'!F20))</f>
        <v>3149.6795874559789</v>
      </c>
      <c r="AN21" s="359">
        <f>(102*'Emissions Factors'!$D$10*'Calcs - Power'!$G20+'Emissions Factors'!$D$11*('Calcs - Power'!$H20+'Calcs - Power'!$I20+'Calcs - Power'!$J20+'Calcs - Power'!$K20))</f>
        <v>810.95281188464924</v>
      </c>
      <c r="AO21" s="366">
        <f>(102*'Emissions Factors'!$D$10*'Calcs - Power'!$B20+'Emissions Factors'!$D$11*('Calcs - Power'!$C20+'Calcs - Power'!$D20+'Calcs - Power'!$E20+'Calcs - Power'!$F20))</f>
        <v>3968.5803053354894</v>
      </c>
      <c r="AP21" s="367">
        <f>(102*'Emissions Factors'!$E$10*'Calcs - Power'!$G20+'Emissions Factors'!$E$11*('Calcs - Power'!H20+'Calcs - Power'!I20+'Calcs - Power'!J20+'Calcs - Power'!K20))</f>
        <v>659.00602916275943</v>
      </c>
      <c r="AQ21" s="366">
        <f>(102*'Emissions Factors'!$E$10*'Calcs - Power'!$B20+'Emissions Factors'!$E$11*('Calcs - Power'!C20+'Calcs - Power'!D20+'Calcs - Power'!E20+'Calcs - Power'!F20))</f>
        <v>3149.6795874559789</v>
      </c>
      <c r="AS21" s="357"/>
      <c r="AT21" s="357"/>
      <c r="AU21" s="357"/>
      <c r="AV21" s="357"/>
      <c r="AW21" s="369"/>
      <c r="AX21" s="358">
        <f t="shared" si="13"/>
        <v>9</v>
      </c>
      <c r="AY21" s="359">
        <f>(('Methane Leakage'!$G$6/'Methane Leakage'!$G$5)*102*'Emissions Factors'!$F$10*'Calcs - Power'!$G20+'Emissions Factors'!$F$11*('Calcs - Power'!$H20+'Calcs - Power'!$I20+'Calcs - Power'!$J20+'Calcs - Power'!$K20))</f>
        <v>1007575.064755907</v>
      </c>
      <c r="AZ21" s="366">
        <f>(('Methane Leakage'!$G$6/'Methane Leakage'!$G$5)*102*'Emissions Factors'!$F$10*'Calcs - Power'!$B20+'Emissions Factors'!$F$11*('Calcs - Power'!$C20+'Calcs - Power'!$D20+'Calcs - Power'!$E20+'Calcs - Power'!$F20))</f>
        <v>4904424.3547947574</v>
      </c>
      <c r="BA21" s="359">
        <f>(102*'Emissions Factors'!$G$10*'Calcs - Power'!$G20+'Emissions Factors'!$G$11*('Calcs - Power'!H20+'Calcs - Power'!I20+'Calcs - Power'!J20+'Calcs - Power'!K20))</f>
        <v>749973.3832685923</v>
      </c>
      <c r="BB21" s="366">
        <f>(102*'Emissions Factors'!$G$10*'Calcs - Power'!$B20+'Emissions Factors'!$G$11*('Calcs - Power'!C20+'Calcs - Power'!D20+'Calcs - Power'!E20+'Calcs - Power'!F20))</f>
        <v>3580413.9917387175</v>
      </c>
      <c r="BC21" s="359">
        <f>(102*'Emissions Factors'!$F$10*'Calcs - Power'!$G20+'Emissions Factors'!$F$11*('Calcs - Power'!$H20+'Calcs - Power'!$I20+'Calcs - Power'!$J20+'Calcs - Power'!$K20))</f>
        <v>1007575.064755907</v>
      </c>
      <c r="BD21" s="366">
        <f>(102*'Emissions Factors'!$F$10*'Calcs - Power'!$B20+'Emissions Factors'!$F$11*('Calcs - Power'!$C20+'Calcs - Power'!$D20+'Calcs - Power'!$E20+'Calcs - Power'!$F20))</f>
        <v>4904424.3547947574</v>
      </c>
      <c r="BE21" s="359">
        <f>(102*'Emissions Factors'!$G$10*'Calcs - Power'!$G20+'Emissions Factors'!$G$11*('Calcs - Power'!H20+'Calcs - Power'!I20+'Calcs - Power'!J20+'Calcs - Power'!K20))</f>
        <v>749973.3832685923</v>
      </c>
      <c r="BF21" s="366">
        <f>(102*'Emissions Factors'!$G$10*'Calcs - Power'!$B20+'Emissions Factors'!$G$11*('Calcs - Power'!C20+'Calcs - Power'!D20+'Calcs - Power'!E20+'Calcs - Power'!F20))</f>
        <v>3580413.9917387175</v>
      </c>
    </row>
    <row r="22" spans="1:58" x14ac:dyDescent="0.3">
      <c r="A22" s="351">
        <f t="shared" si="10"/>
        <v>10</v>
      </c>
      <c r="B22" s="352">
        <f t="shared" si="0"/>
        <v>1</v>
      </c>
      <c r="C22" s="363">
        <f t="shared" si="1"/>
        <v>0.99999999999999989</v>
      </c>
      <c r="D22" s="352">
        <f t="shared" si="2"/>
        <v>1</v>
      </c>
      <c r="E22" s="364">
        <f t="shared" si="3"/>
        <v>1</v>
      </c>
      <c r="F22" s="364">
        <f t="shared" si="4"/>
        <v>1</v>
      </c>
      <c r="G22" s="365">
        <f t="shared" si="5"/>
        <v>1</v>
      </c>
      <c r="P22" s="358">
        <f t="shared" si="11"/>
        <v>10</v>
      </c>
      <c r="Q22" s="359">
        <f>(('Methane Leakage'!$C$6/'Methane Leakage'!$C$5)*102*'Emissions Factors'!$C$38*'Calcs - Power'!$G21+'Emissions Factors'!$C$37*('Calcs - Power'!$H21+'Calcs - Power'!$I21+'Calcs - Power'!$J21+'Calcs - Power'!$K21))</f>
        <v>5846.9320368192766</v>
      </c>
      <c r="R22" s="366">
        <f>(('Methane Leakage'!$C$6/'Methane Leakage'!$C$5)*102*'Emissions Factors'!$C$38*'Calcs - Power'!$B21+'Emissions Factors'!$C$37*('Calcs - Power'!$C21+'Calcs - Power'!$D21+'Calcs - Power'!$E21+'Calcs - Power'!$F21))</f>
        <v>31806.687925428625</v>
      </c>
      <c r="S22" s="359">
        <f>(('Methane Leakage'!$C$6/'Methane Leakage'!$C$5)*102*'Emissions Factors'!$D$38*'Calcs - Power'!$G21+'Emissions Factors'!$D$37*('Calcs - Power'!$H21+'Calcs - Power'!$I21+'Calcs - Power'!$J21+'Calcs - Power'!$K21))</f>
        <v>5846.9320368192766</v>
      </c>
      <c r="T22" s="366">
        <f>(('Methane Leakage'!$C$6/'Methane Leakage'!$C$5)*102*'Emissions Factors'!$D$38*'Calcs - Power'!$B21+'Emissions Factors'!$D$37*('Calcs - Power'!$C21+'Calcs - Power'!$D21+'Calcs - Power'!$E21+'Calcs - Power'!$F21))</f>
        <v>31806.687925428625</v>
      </c>
      <c r="U22" s="361">
        <f>(102*'Emissions Factors'!$C$36*'Calcs - Power'!$G21+'Emissions Factors'!$C$35*('Calcs - Power'!$H21+'Calcs - Power'!$I21+'Calcs - Power'!$J21+'Calcs - Power'!$K21))</f>
        <v>7879.4310685522632</v>
      </c>
      <c r="V22" s="366">
        <f>(102*'Emissions Factors'!$C$36*'Calcs - Power'!$B21+'Emissions Factors'!$C$35*('Calcs - Power'!$C21+'Calcs - Power'!$D21+'Calcs - Power'!$E21+'Calcs - Power'!$F21))</f>
        <v>41849.740136112116</v>
      </c>
      <c r="W22" s="359">
        <f>(102*'Emissions Factors'!$D$36*'Calcs - Power'!$G21+'Emissions Factors'!$D$35*('Calcs - Power'!$H21+'Calcs - Power'!$I21+'Calcs - Power'!$J21+'Calcs - Power'!$K21))</f>
        <v>7879.4310685522632</v>
      </c>
      <c r="X22" s="366">
        <f>(102*'Emissions Factors'!$D$36*'Calcs - Power'!$B21+'Emissions Factors'!$D$35*('Calcs - Power'!$C21+'Calcs - Power'!$D21+'Calcs - Power'!$E21+'Calcs - Power'!$F21))</f>
        <v>41849.740136112116</v>
      </c>
      <c r="Y22" s="359">
        <f>(102*'Emissions Factors'!$C$38*'Calcs - Power'!$G21+'Emissions Factors'!$C$37*('Calcs - Power'!$H21+'Calcs - Power'!$I21+'Calcs - Power'!$J21+'Calcs - Power'!$K21))</f>
        <v>5846.9320368192766</v>
      </c>
      <c r="Z22" s="366">
        <f>(102*'Emissions Factors'!$C$38*'Calcs - Power'!$B21+'Emissions Factors'!$C$37*('Calcs - Power'!$C21+'Calcs - Power'!$D21+'Calcs - Power'!$E21+'Calcs - Power'!$F21))</f>
        <v>31806.687925428625</v>
      </c>
      <c r="AA22" s="359">
        <f>(102*'Emissions Factors'!$C$36*'Calcs - Power'!$G21+'Emissions Factors'!$C$35*('Calcs - Power'!$H21+'Calcs - Power'!$I21+'Calcs - Power'!$J21+'Calcs - Power'!$K21))</f>
        <v>7879.4310685522632</v>
      </c>
      <c r="AB22" s="366">
        <f>(102*'Emissions Factors'!$C$36*'Calcs - Power'!$B21+'Emissions Factors'!$C$35*('Calcs - Power'!$C21+'Calcs - Power'!$D21+'Calcs - Power'!$E21+'Calcs - Power'!$F21))</f>
        <v>41849.740136112116</v>
      </c>
      <c r="AI22" s="358">
        <f t="shared" si="12"/>
        <v>10</v>
      </c>
      <c r="AJ22" s="359">
        <f>(('Methane Leakage'!$G$6/'Methane Leakage'!$G$5)*102*'Emissions Factors'!$D$10*'Calcs - Power'!$G21+'Emissions Factors'!$D$11*('Calcs - Power'!$H21+'Calcs - Power'!$I21+'Calcs - Power'!$J21+'Calcs - Power'!$K21))</f>
        <v>879.8634340686483</v>
      </c>
      <c r="AK22" s="366">
        <f>(('Methane Leakage'!$G$6/'Methane Leakage'!$G$5)*102*'Emissions Factors'!$D$10*'Calcs - Power'!$B21+'Emissions Factors'!$D$11*('Calcs - Power'!$C21+'Calcs - Power'!$D21+'Calcs - Power'!$E21+'Calcs - Power'!$F21))</f>
        <v>4814.2433054259054</v>
      </c>
      <c r="AL22" s="359">
        <f>(102*'Emissions Factors'!$E$10*'Calcs - Power'!$G21+'Emissions Factors'!$E$11*('Calcs - Power'!H21+'Calcs - Power'!I21+'Calcs - Power'!J21+'Calcs - Power'!K21))</f>
        <v>721.17225944755819</v>
      </c>
      <c r="AM22" s="366">
        <f>(102*'Emissions Factors'!$E$10*'Calcs - Power'!$B21+'Emissions Factors'!$E$11*('Calcs - Power'!C21+'Calcs - Power'!D21+'Calcs - Power'!E21+'Calcs - Power'!F21))</f>
        <v>3839.891713263723</v>
      </c>
      <c r="AN22" s="359">
        <f>(102*'Emissions Factors'!$D$10*'Calcs - Power'!$G21+'Emissions Factors'!$D$11*('Calcs - Power'!$H21+'Calcs - Power'!$I21+'Calcs - Power'!$J21+'Calcs - Power'!$K21))</f>
        <v>879.8634340686483</v>
      </c>
      <c r="AO22" s="366">
        <f>(102*'Emissions Factors'!$D$10*'Calcs - Power'!$B21+'Emissions Factors'!$D$11*('Calcs - Power'!$C21+'Calcs - Power'!$D21+'Calcs - Power'!$E21+'Calcs - Power'!$F21))</f>
        <v>4814.2433054259054</v>
      </c>
      <c r="AP22" s="367">
        <f>(102*'Emissions Factors'!$E$10*'Calcs - Power'!$G21+'Emissions Factors'!$E$11*('Calcs - Power'!H21+'Calcs - Power'!I21+'Calcs - Power'!J21+'Calcs - Power'!K21))</f>
        <v>721.17225944755819</v>
      </c>
      <c r="AQ22" s="366">
        <f>(102*'Emissions Factors'!$E$10*'Calcs - Power'!$B21+'Emissions Factors'!$E$11*('Calcs - Power'!C21+'Calcs - Power'!D21+'Calcs - Power'!E21+'Calcs - Power'!F21))</f>
        <v>3839.891713263723</v>
      </c>
      <c r="AS22" s="357"/>
      <c r="AT22" s="357"/>
      <c r="AU22" s="357"/>
      <c r="AV22" s="357"/>
      <c r="AX22" s="358">
        <f t="shared" si="13"/>
        <v>10</v>
      </c>
      <c r="AY22" s="359">
        <f>(('Methane Leakage'!$G$6/'Methane Leakage'!$G$5)*102*'Emissions Factors'!$F$10*'Calcs - Power'!$G21+'Emissions Factors'!$F$11*('Calcs - Power'!$H21+'Calcs - Power'!$I21+'Calcs - Power'!$J21+'Calcs - Power'!$K21))</f>
        <v>1095353.087671482</v>
      </c>
      <c r="AZ22" s="366">
        <f>(('Methane Leakage'!$G$6/'Methane Leakage'!$G$5)*102*'Emissions Factors'!$F$10*'Calcs - Power'!$B21+'Emissions Factors'!$F$11*('Calcs - Power'!$C21+'Calcs - Power'!$D21+'Calcs - Power'!$E21+'Calcs - Power'!$F21))</f>
        <v>5956175.643964231</v>
      </c>
      <c r="BA22" s="359">
        <f>(102*'Emissions Factors'!$G$10*'Calcs - Power'!$G21+'Emissions Factors'!$G$11*('Calcs - Power'!H21+'Calcs - Power'!I21+'Calcs - Power'!J21+'Calcs - Power'!K21))</f>
        <v>821051.57154000446</v>
      </c>
      <c r="BB22" s="366">
        <f>(102*'Emissions Factors'!$G$10*'Calcs - Power'!$B21+'Emissions Factors'!$G$11*('Calcs - Power'!C21+'Calcs - Power'!D21+'Calcs - Power'!E21+'Calcs - Power'!F21))</f>
        <v>4366061.9148777435</v>
      </c>
      <c r="BC22" s="359">
        <f>(102*'Emissions Factors'!$F$10*'Calcs - Power'!$G21+'Emissions Factors'!$F$11*('Calcs - Power'!$H21+'Calcs - Power'!$I21+'Calcs - Power'!$J21+'Calcs - Power'!$K21))</f>
        <v>1095353.087671482</v>
      </c>
      <c r="BD22" s="366">
        <f>(102*'Emissions Factors'!$F$10*'Calcs - Power'!$B21+'Emissions Factors'!$F$11*('Calcs - Power'!$C21+'Calcs - Power'!$D21+'Calcs - Power'!$E21+'Calcs - Power'!$F21))</f>
        <v>5956175.643964231</v>
      </c>
      <c r="BE22" s="359">
        <f>(102*'Emissions Factors'!$G$10*'Calcs - Power'!$G21+'Emissions Factors'!$G$11*('Calcs - Power'!H21+'Calcs - Power'!I21+'Calcs - Power'!J21+'Calcs - Power'!K21))</f>
        <v>821051.57154000446</v>
      </c>
      <c r="BF22" s="366">
        <f>(102*'Emissions Factors'!$G$10*'Calcs - Power'!$B21+'Emissions Factors'!$G$11*('Calcs - Power'!C21+'Calcs - Power'!D21+'Calcs - Power'!E21+'Calcs - Power'!F21))</f>
        <v>4366061.9148777435</v>
      </c>
    </row>
    <row r="23" spans="1:58" x14ac:dyDescent="0.3">
      <c r="A23" s="351">
        <f t="shared" si="10"/>
        <v>11</v>
      </c>
      <c r="B23" s="352">
        <f t="shared" si="0"/>
        <v>0.99999999999999978</v>
      </c>
      <c r="C23" s="363">
        <f t="shared" si="1"/>
        <v>1</v>
      </c>
      <c r="D23" s="352">
        <f t="shared" si="2"/>
        <v>1</v>
      </c>
      <c r="E23" s="364">
        <f t="shared" si="3"/>
        <v>1</v>
      </c>
      <c r="F23" s="364">
        <f t="shared" si="4"/>
        <v>1</v>
      </c>
      <c r="G23" s="365">
        <f t="shared" si="5"/>
        <v>1</v>
      </c>
      <c r="O23" s="325"/>
      <c r="P23" s="358">
        <f t="shared" si="11"/>
        <v>11</v>
      </c>
      <c r="Q23" s="359">
        <f>(('Methane Leakage'!$C$6/'Methane Leakage'!$C$5)*102*'Emissions Factors'!$C$38*'Calcs - Power'!$G22+'Emissions Factors'!$C$37*('Calcs - Power'!$H22+'Calcs - Power'!$I22+'Calcs - Power'!$J22+'Calcs - Power'!$K22))</f>
        <v>6296.9256224483306</v>
      </c>
      <c r="R23" s="366">
        <f>(('Methane Leakage'!$C$6/'Methane Leakage'!$C$5)*102*'Emissions Factors'!$C$38*'Calcs - Power'!$B22+'Emissions Factors'!$C$37*('Calcs - Power'!$C22+'Calcs - Power'!$D22+'Calcs - Power'!$E22+'Calcs - Power'!$F22))</f>
        <v>37880.051973925059</v>
      </c>
      <c r="S23" s="359">
        <f>(('Methane Leakage'!$C$6/'Methane Leakage'!$C$5)*102*'Emissions Factors'!$D$38*'Calcs - Power'!$G22+'Emissions Factors'!$D$37*('Calcs - Power'!$H22+'Calcs - Power'!$I22+'Calcs - Power'!$J22+'Calcs - Power'!$K22))</f>
        <v>6296.9256224483306</v>
      </c>
      <c r="T23" s="366">
        <f>(('Methane Leakage'!$C$6/'Methane Leakage'!$C$5)*102*'Emissions Factors'!$D$38*'Calcs - Power'!$B22+'Emissions Factors'!$D$37*('Calcs - Power'!$C22+'Calcs - Power'!$D22+'Calcs - Power'!$E22+'Calcs - Power'!$F22))</f>
        <v>37880.051973925059</v>
      </c>
      <c r="U23" s="361">
        <f>(102*'Emissions Factors'!$C$36*'Calcs - Power'!$G22+'Emissions Factors'!$C$35*('Calcs - Power'!$H22+'Calcs - Power'!$I22+'Calcs - Power'!$J22+'Calcs - Power'!$K22))</f>
        <v>8549.5613808255021</v>
      </c>
      <c r="V23" s="366">
        <f>(102*'Emissions Factors'!$C$36*'Calcs - Power'!$B22+'Emissions Factors'!$C$35*('Calcs - Power'!$C22+'Calcs - Power'!$D22+'Calcs - Power'!$E22+'Calcs - Power'!$F22))</f>
        <v>50065.425567285725</v>
      </c>
      <c r="W23" s="359">
        <f>(102*'Emissions Factors'!$D$36*'Calcs - Power'!$G22+'Emissions Factors'!$D$35*('Calcs - Power'!$H22+'Calcs - Power'!$I22+'Calcs - Power'!$J22+'Calcs - Power'!$K22))</f>
        <v>8549.5613808255021</v>
      </c>
      <c r="X23" s="366">
        <f>(102*'Emissions Factors'!$D$36*'Calcs - Power'!$B22+'Emissions Factors'!$D$35*('Calcs - Power'!$C22+'Calcs - Power'!$D22+'Calcs - Power'!$E22+'Calcs - Power'!$F22))</f>
        <v>50065.425567285725</v>
      </c>
      <c r="Y23" s="359">
        <f>(102*'Emissions Factors'!$C$38*'Calcs - Power'!$G22+'Emissions Factors'!$C$37*('Calcs - Power'!$H22+'Calcs - Power'!$I22+'Calcs - Power'!$J22+'Calcs - Power'!$K22))</f>
        <v>6296.9256224483306</v>
      </c>
      <c r="Z23" s="366">
        <f>(102*'Emissions Factors'!$C$38*'Calcs - Power'!$B22+'Emissions Factors'!$C$37*('Calcs - Power'!$C22+'Calcs - Power'!$D22+'Calcs - Power'!$E22+'Calcs - Power'!$F22))</f>
        <v>37880.051973925059</v>
      </c>
      <c r="AA23" s="359">
        <f>(102*'Emissions Factors'!$C$36*'Calcs - Power'!$G22+'Emissions Factors'!$C$35*('Calcs - Power'!$H22+'Calcs - Power'!$I22+'Calcs - Power'!$J22+'Calcs - Power'!$K22))</f>
        <v>8549.5613808255021</v>
      </c>
      <c r="AB23" s="366">
        <f>(102*'Emissions Factors'!$C$36*'Calcs - Power'!$B22+'Emissions Factors'!$C$35*('Calcs - Power'!$C22+'Calcs - Power'!$D22+'Calcs - Power'!$E22+'Calcs - Power'!$F22))</f>
        <v>50065.425567285725</v>
      </c>
      <c r="AH23" s="325"/>
      <c r="AI23" s="358">
        <f t="shared" si="12"/>
        <v>11</v>
      </c>
      <c r="AJ23" s="359">
        <f>(('Methane Leakage'!$G$6/'Methane Leakage'!$G$5)*102*'Emissions Factors'!$D$10*'Calcs - Power'!$G22+'Emissions Factors'!$D$11*('Calcs - Power'!$H22+'Calcs - Power'!$I22+'Calcs - Power'!$J22+'Calcs - Power'!$K22))</f>
        <v>945.82723977935484</v>
      </c>
      <c r="AK23" s="366">
        <f>(('Methane Leakage'!$G$6/'Methane Leakage'!$G$5)*102*'Emissions Factors'!$D$10*'Calcs - Power'!$B22+'Emissions Factors'!$D$11*('Calcs - Power'!$C22+'Calcs - Power'!$D22+'Calcs - Power'!$E22+'Calcs - Power'!$F22))</f>
        <v>5727.3251094036095</v>
      </c>
      <c r="AL23" s="359">
        <f>(102*'Emissions Factors'!$E$10*'Calcs - Power'!$G22+'Emissions Factors'!$E$11*('Calcs - Power'!H22+'Calcs - Power'!I22+'Calcs - Power'!J22+'Calcs - Power'!K22))</f>
        <v>781.90590739926813</v>
      </c>
      <c r="AM23" s="366">
        <f>(102*'Emissions Factors'!$E$10*'Calcs - Power'!$B22+'Emissions Factors'!$E$11*('Calcs - Power'!C22+'Calcs - Power'!D22+'Calcs - Power'!E22+'Calcs - Power'!F22))</f>
        <v>4591.5466628688573</v>
      </c>
      <c r="AN23" s="359">
        <f>(102*'Emissions Factors'!$D$10*'Calcs - Power'!$G22+'Emissions Factors'!$D$11*('Calcs - Power'!$H22+'Calcs - Power'!$I22+'Calcs - Power'!$J22+'Calcs - Power'!$K22))</f>
        <v>945.82723977935484</v>
      </c>
      <c r="AO23" s="366">
        <f>(102*'Emissions Factors'!$D$10*'Calcs - Power'!$B22+'Emissions Factors'!$D$11*('Calcs - Power'!$C22+'Calcs - Power'!$D22+'Calcs - Power'!$E22+'Calcs - Power'!$F22))</f>
        <v>5727.3251094036095</v>
      </c>
      <c r="AP23" s="367">
        <f>(102*'Emissions Factors'!$E$10*'Calcs - Power'!$G22+'Emissions Factors'!$E$11*('Calcs - Power'!H22+'Calcs - Power'!I22+'Calcs - Power'!J22+'Calcs - Power'!K22))</f>
        <v>781.90590739926813</v>
      </c>
      <c r="AQ23" s="366">
        <f>(102*'Emissions Factors'!$E$10*'Calcs - Power'!$B22+'Emissions Factors'!$E$11*('Calcs - Power'!C22+'Calcs - Power'!D22+'Calcs - Power'!E22+'Calcs - Power'!F22))</f>
        <v>4591.5466628688573</v>
      </c>
      <c r="AS23" s="357"/>
      <c r="AT23" s="357"/>
      <c r="AU23" s="357"/>
      <c r="AV23" s="357"/>
      <c r="AW23" s="325"/>
      <c r="AX23" s="358">
        <f t="shared" si="13"/>
        <v>11</v>
      </c>
      <c r="AY23" s="359">
        <f>(('Methane Leakage'!$G$6/'Methane Leakage'!$G$5)*102*'Emissions Factors'!$F$10*'Calcs - Power'!$G22+'Emissions Factors'!$F$11*('Calcs - Power'!$H22+'Calcs - Power'!$I22+'Calcs - Power'!$J22+'Calcs - Power'!$K22))</f>
        <v>1179806.6879154085</v>
      </c>
      <c r="AZ23" s="366">
        <f>(('Methane Leakage'!$G$6/'Methane Leakage'!$G$5)*102*'Emissions Factors'!$F$10*'Calcs - Power'!$B22+'Emissions Factors'!$F$11*('Calcs - Power'!$C22+'Calcs - Power'!$D22+'Calcs - Power'!$E22+'Calcs - Power'!$F22))</f>
        <v>7094022.6179780522</v>
      </c>
      <c r="BA23" s="359">
        <f>(102*'Emissions Factors'!$G$10*'Calcs - Power'!$G22+'Emissions Factors'!$G$11*('Calcs - Power'!H22+'Calcs - Power'!I22+'Calcs - Power'!J22+'Calcs - Power'!K22))</f>
        <v>890551.0178091405</v>
      </c>
      <c r="BB23" s="366">
        <f>(102*'Emissions Factors'!$G$10*'Calcs - Power'!$B22+'Emissions Factors'!$G$11*('Calcs - Power'!C22+'Calcs - Power'!D22+'Calcs - Power'!E22+'Calcs - Power'!F22))</f>
        <v>5221990.9784713741</v>
      </c>
      <c r="BC23" s="359">
        <f>(102*'Emissions Factors'!$F$10*'Calcs - Power'!$G22+'Emissions Factors'!$F$11*('Calcs - Power'!$H22+'Calcs - Power'!$I22+'Calcs - Power'!$J22+'Calcs - Power'!$K22))</f>
        <v>1179806.6879154085</v>
      </c>
      <c r="BD23" s="366">
        <f>(102*'Emissions Factors'!$F$10*'Calcs - Power'!$B22+'Emissions Factors'!$F$11*('Calcs - Power'!$C22+'Calcs - Power'!$D22+'Calcs - Power'!$E22+'Calcs - Power'!$F22))</f>
        <v>7094022.6179780522</v>
      </c>
      <c r="BE23" s="359">
        <f>(102*'Emissions Factors'!$G$10*'Calcs - Power'!$G22+'Emissions Factors'!$G$11*('Calcs - Power'!H22+'Calcs - Power'!I22+'Calcs - Power'!J22+'Calcs - Power'!K22))</f>
        <v>890551.0178091405</v>
      </c>
      <c r="BF23" s="366">
        <f>(102*'Emissions Factors'!$G$10*'Calcs - Power'!$B22+'Emissions Factors'!$G$11*('Calcs - Power'!C22+'Calcs - Power'!D22+'Calcs - Power'!E22+'Calcs - Power'!F22))</f>
        <v>5221990.9784713741</v>
      </c>
    </row>
    <row r="24" spans="1:58" x14ac:dyDescent="0.3">
      <c r="A24" s="351">
        <f t="shared" si="10"/>
        <v>12</v>
      </c>
      <c r="B24" s="352">
        <f t="shared" si="0"/>
        <v>0.99999999999999967</v>
      </c>
      <c r="C24" s="363">
        <f t="shared" si="1"/>
        <v>1</v>
      </c>
      <c r="D24" s="352">
        <f t="shared" si="2"/>
        <v>1</v>
      </c>
      <c r="E24" s="364">
        <f t="shared" si="3"/>
        <v>1</v>
      </c>
      <c r="F24" s="364">
        <f t="shared" si="4"/>
        <v>1</v>
      </c>
      <c r="G24" s="365">
        <f t="shared" si="5"/>
        <v>1</v>
      </c>
      <c r="O24" s="369"/>
      <c r="P24" s="358">
        <f t="shared" si="11"/>
        <v>12</v>
      </c>
      <c r="Q24" s="359">
        <f>(('Methane Leakage'!$C$6/'Methane Leakage'!$C$5)*102*'Emissions Factors'!$C$38*'Calcs - Power'!$G23+'Emissions Factors'!$C$37*('Calcs - Power'!$H23+'Calcs - Power'!$I23+'Calcs - Power'!$J23+'Calcs - Power'!$K23))</f>
        <v>6730.3018377450207</v>
      </c>
      <c r="R24" s="366">
        <f>(('Methane Leakage'!$C$6/'Methane Leakage'!$C$5)*102*'Emissions Factors'!$C$38*'Calcs - Power'!$B23+'Emissions Factors'!$C$37*('Calcs - Power'!$C23+'Calcs - Power'!$D23+'Calcs - Power'!$E23+'Calcs - Power'!$F23))</f>
        <v>44395.001119375098</v>
      </c>
      <c r="S24" s="359">
        <f>(('Methane Leakage'!$C$6/'Methane Leakage'!$C$5)*102*'Emissions Factors'!$D$38*'Calcs - Power'!$G23+'Emissions Factors'!$D$37*('Calcs - Power'!$H23+'Calcs - Power'!$I23+'Calcs - Power'!$J23+'Calcs - Power'!$K23))</f>
        <v>6730.3018377450207</v>
      </c>
      <c r="T24" s="366">
        <f>(('Methane Leakage'!$C$6/'Methane Leakage'!$C$5)*102*'Emissions Factors'!$D$38*'Calcs - Power'!$B23+'Emissions Factors'!$D$37*('Calcs - Power'!$C23+'Calcs - Power'!$D23+'Calcs - Power'!$E23+'Calcs - Power'!$F23))</f>
        <v>44395.001119375098</v>
      </c>
      <c r="U24" s="361">
        <f>(102*'Emissions Factors'!$C$36*'Calcs - Power'!$G23+'Emissions Factors'!$C$35*('Calcs - Power'!$H23+'Calcs - Power'!$I23+'Calcs - Power'!$J23+'Calcs - Power'!$K23))</f>
        <v>9205.8116394638637</v>
      </c>
      <c r="V24" s="366">
        <f>(102*'Emissions Factors'!$C$36*'Calcs - Power'!$B23+'Emissions Factors'!$C$35*('Calcs - Power'!$C23+'Calcs - Power'!$D23+'Calcs - Power'!$E23+'Calcs - Power'!$F23))</f>
        <v>58944.236854600356</v>
      </c>
      <c r="W24" s="359">
        <f>(102*'Emissions Factors'!$D$36*'Calcs - Power'!$G23+'Emissions Factors'!$D$35*('Calcs - Power'!$H23+'Calcs - Power'!$I23+'Calcs - Power'!$J23+'Calcs - Power'!$K23))</f>
        <v>9205.8116394638637</v>
      </c>
      <c r="X24" s="366">
        <f>(102*'Emissions Factors'!$D$36*'Calcs - Power'!$B23+'Emissions Factors'!$D$35*('Calcs - Power'!$C23+'Calcs - Power'!$D23+'Calcs - Power'!$E23+'Calcs - Power'!$F23))</f>
        <v>58944.236854600356</v>
      </c>
      <c r="Y24" s="359">
        <f>(102*'Emissions Factors'!$C$38*'Calcs - Power'!$G23+'Emissions Factors'!$C$37*('Calcs - Power'!$H23+'Calcs - Power'!$I23+'Calcs - Power'!$J23+'Calcs - Power'!$K23))</f>
        <v>6730.3018377450207</v>
      </c>
      <c r="Z24" s="366">
        <f>(102*'Emissions Factors'!$C$38*'Calcs - Power'!$B23+'Emissions Factors'!$C$37*('Calcs - Power'!$C23+'Calcs - Power'!$D23+'Calcs - Power'!$E23+'Calcs - Power'!$F23))</f>
        <v>44395.001119375098</v>
      </c>
      <c r="AA24" s="359">
        <f>(102*'Emissions Factors'!$C$36*'Calcs - Power'!$G23+'Emissions Factors'!$C$35*('Calcs - Power'!$H23+'Calcs - Power'!$I23+'Calcs - Power'!$J23+'Calcs - Power'!$K23))</f>
        <v>9205.8116394638637</v>
      </c>
      <c r="AB24" s="366">
        <f>(102*'Emissions Factors'!$C$36*'Calcs - Power'!$B23+'Emissions Factors'!$C$35*('Calcs - Power'!$C23+'Calcs - Power'!$D23+'Calcs - Power'!$E23+'Calcs - Power'!$F23))</f>
        <v>58944.236854600356</v>
      </c>
      <c r="AH24" s="369"/>
      <c r="AI24" s="358">
        <f t="shared" si="12"/>
        <v>12</v>
      </c>
      <c r="AJ24" s="359">
        <f>(('Methane Leakage'!$G$6/'Methane Leakage'!$G$5)*102*'Emissions Factors'!$D$10*'Calcs - Power'!$G23+'Emissions Factors'!$D$11*('Calcs - Power'!$H23+'Calcs - Power'!$I23+'Calcs - Power'!$J23+'Calcs - Power'!$K23))</f>
        <v>1009.0562186774803</v>
      </c>
      <c r="AK24" s="366">
        <f>(('Methane Leakage'!$G$6/'Methane Leakage'!$G$5)*102*'Emissions Factors'!$D$10*'Calcs - Power'!$B23+'Emissions Factors'!$D$11*('Calcs - Power'!$C23+'Calcs - Power'!$D23+'Calcs - Power'!$E23+'Calcs - Power'!$F23))</f>
        <v>6704.986359553458</v>
      </c>
      <c r="AL24" s="359">
        <f>(102*'Emissions Factors'!$E$10*'Calcs - Power'!$G23+'Emissions Factors'!$E$11*('Calcs - Power'!H23+'Calcs - Power'!I23+'Calcs - Power'!J23+'Calcs - Power'!K23))</f>
        <v>841.28890408314237</v>
      </c>
      <c r="AM24" s="366">
        <f>(102*'Emissions Factors'!$E$10*'Calcs - Power'!$B23+'Emissions Factors'!$E$11*('Calcs - Power'!C23+'Calcs - Power'!D23+'Calcs - Power'!E23+'Calcs - Power'!F23))</f>
        <v>5403.2533772553652</v>
      </c>
      <c r="AN24" s="359">
        <f>(102*'Emissions Factors'!$D$10*'Calcs - Power'!$G23+'Emissions Factors'!$D$11*('Calcs - Power'!$H23+'Calcs - Power'!$I23+'Calcs - Power'!$J23+'Calcs - Power'!$K23))</f>
        <v>1009.0562186774803</v>
      </c>
      <c r="AO24" s="366">
        <f>(102*'Emissions Factors'!$D$10*'Calcs - Power'!$B23+'Emissions Factors'!$D$11*('Calcs - Power'!$C23+'Calcs - Power'!$D23+'Calcs - Power'!$E23+'Calcs - Power'!$F23))</f>
        <v>6704.986359553458</v>
      </c>
      <c r="AP24" s="367">
        <f>(102*'Emissions Factors'!$E$10*'Calcs - Power'!$G23+'Emissions Factors'!$E$11*('Calcs - Power'!H23+'Calcs - Power'!I23+'Calcs - Power'!J23+'Calcs - Power'!K23))</f>
        <v>841.28890408314237</v>
      </c>
      <c r="AQ24" s="366">
        <f>(102*'Emissions Factors'!$E$10*'Calcs - Power'!$B23+'Emissions Factors'!$E$11*('Calcs - Power'!C23+'Calcs - Power'!D23+'Calcs - Power'!E23+'Calcs - Power'!F23))</f>
        <v>5403.2533772553652</v>
      </c>
      <c r="AS24" s="357"/>
      <c r="AT24" s="357"/>
      <c r="AU24" s="357"/>
      <c r="AV24" s="357"/>
      <c r="AW24" s="369"/>
      <c r="AX24" s="358">
        <f t="shared" si="13"/>
        <v>12</v>
      </c>
      <c r="AY24" s="359">
        <f>(('Methane Leakage'!$G$6/'Methane Leakage'!$G$5)*102*'Emissions Factors'!$F$10*'Calcs - Power'!$G23+'Emissions Factors'!$F$11*('Calcs - Power'!$H23+'Calcs - Power'!$I23+'Calcs - Power'!$J23+'Calcs - Power'!$K23))</f>
        <v>1261167.6221073468</v>
      </c>
      <c r="AZ24" s="366">
        <f>(('Methane Leakage'!$G$6/'Methane Leakage'!$G$5)*102*'Emissions Factors'!$F$10*'Calcs - Power'!$B23+'Emissions Factors'!$F$11*('Calcs - Power'!$C23+'Calcs - Power'!$D23+'Calcs - Power'!$E23+'Calcs - Power'!$F23))</f>
        <v>8314758.3301036805</v>
      </c>
      <c r="BA24" s="359">
        <f>(102*'Emissions Factors'!$G$10*'Calcs - Power'!$G23+'Emissions Factors'!$G$11*('Calcs - Power'!H23+'Calcs - Power'!I23+'Calcs - Power'!J23+'Calcs - Power'!K23))</f>
        <v>958560.11849353008</v>
      </c>
      <c r="BB24" s="366">
        <f>(102*'Emissions Factors'!$G$10*'Calcs - Power'!$B23+'Emissions Factors'!$G$11*('Calcs - Power'!C23+'Calcs - Power'!D23+'Calcs - Power'!E23+'Calcs - Power'!F23))</f>
        <v>6146667.2396241277</v>
      </c>
      <c r="BC24" s="359">
        <f>(102*'Emissions Factors'!$F$10*'Calcs - Power'!$G23+'Emissions Factors'!$F$11*('Calcs - Power'!$H23+'Calcs - Power'!$I23+'Calcs - Power'!$J23+'Calcs - Power'!$K23))</f>
        <v>1261167.6221073468</v>
      </c>
      <c r="BD24" s="366">
        <f>(102*'Emissions Factors'!$F$10*'Calcs - Power'!$B23+'Emissions Factors'!$F$11*('Calcs - Power'!$C23+'Calcs - Power'!$D23+'Calcs - Power'!$E23+'Calcs - Power'!$F23))</f>
        <v>8314758.3301036805</v>
      </c>
      <c r="BE24" s="359">
        <f>(102*'Emissions Factors'!$G$10*'Calcs - Power'!$G23+'Emissions Factors'!$G$11*('Calcs - Power'!H23+'Calcs - Power'!I23+'Calcs - Power'!J23+'Calcs - Power'!K23))</f>
        <v>958560.11849353008</v>
      </c>
      <c r="BF24" s="366">
        <f>(102*'Emissions Factors'!$G$10*'Calcs - Power'!$B23+'Emissions Factors'!$G$11*('Calcs - Power'!C23+'Calcs - Power'!D23+'Calcs - Power'!E23+'Calcs - Power'!F23))</f>
        <v>6146667.2396241277</v>
      </c>
    </row>
    <row r="25" spans="1:58" x14ac:dyDescent="0.3">
      <c r="A25" s="351">
        <f t="shared" si="10"/>
        <v>13</v>
      </c>
      <c r="B25" s="352">
        <f t="shared" si="0"/>
        <v>0.99999999999999989</v>
      </c>
      <c r="C25" s="363">
        <f t="shared" si="1"/>
        <v>1</v>
      </c>
      <c r="D25" s="352">
        <f t="shared" si="2"/>
        <v>1</v>
      </c>
      <c r="E25" s="364">
        <f t="shared" si="3"/>
        <v>1</v>
      </c>
      <c r="F25" s="364">
        <f t="shared" si="4"/>
        <v>1</v>
      </c>
      <c r="G25" s="365">
        <f t="shared" si="5"/>
        <v>1</v>
      </c>
      <c r="P25" s="358">
        <f t="shared" si="11"/>
        <v>13</v>
      </c>
      <c r="Q25" s="359">
        <f>(('Methane Leakage'!$C$6/'Methane Leakage'!$C$5)*102*'Emissions Factors'!$C$38*'Calcs - Power'!$G24+'Emissions Factors'!$C$37*('Calcs - Power'!$H24+'Calcs - Power'!$I24+'Calcs - Power'!$J24+'Calcs - Power'!$K24))</f>
        <v>7148.2119653114787</v>
      </c>
      <c r="R25" s="366">
        <f>(('Methane Leakage'!$C$6/'Methane Leakage'!$C$5)*102*'Emissions Factors'!$C$38*'Calcs - Power'!$B24+'Emissions Factors'!$C$37*('Calcs - Power'!$C24+'Calcs - Power'!$D24+'Calcs - Power'!$E24+'Calcs - Power'!$F24))</f>
        <v>51335.501249848065</v>
      </c>
      <c r="S25" s="359">
        <f>(('Methane Leakage'!$C$6/'Methane Leakage'!$C$5)*102*'Emissions Factors'!$D$38*'Calcs - Power'!$G24+'Emissions Factors'!$D$37*('Calcs - Power'!$H24+'Calcs - Power'!$I24+'Calcs - Power'!$J24+'Calcs - Power'!$K24))</f>
        <v>7148.2119653114787</v>
      </c>
      <c r="T25" s="366">
        <f>(('Methane Leakage'!$C$6/'Methane Leakage'!$C$5)*102*'Emissions Factors'!$D$38*'Calcs - Power'!$B24+'Emissions Factors'!$D$37*('Calcs - Power'!$C24+'Calcs - Power'!$D24+'Calcs - Power'!$E24+'Calcs - Power'!$F24))</f>
        <v>51335.501249848065</v>
      </c>
      <c r="U25" s="361">
        <f>(102*'Emissions Factors'!$C$36*'Calcs - Power'!$G24+'Emissions Factors'!$C$35*('Calcs - Power'!$H24+'Calcs - Power'!$I24+'Calcs - Power'!$J24+'Calcs - Power'!$K24))</f>
        <v>9848.9279504011192</v>
      </c>
      <c r="V25" s="366">
        <f>(102*'Emissions Factors'!$C$36*'Calcs - Power'!$B24+'Emissions Factors'!$C$35*('Calcs - Power'!$C24+'Calcs - Power'!$D24+'Calcs - Power'!$E24+'Calcs - Power'!$F24))</f>
        <v>68472.67140508513</v>
      </c>
      <c r="W25" s="359">
        <f>(102*'Emissions Factors'!$D$36*'Calcs - Power'!$G24+'Emissions Factors'!$D$35*('Calcs - Power'!$H24+'Calcs - Power'!$I24+'Calcs - Power'!$J24+'Calcs - Power'!$K24))</f>
        <v>9848.9279504011192</v>
      </c>
      <c r="X25" s="366">
        <f>(102*'Emissions Factors'!$D$36*'Calcs - Power'!$B24+'Emissions Factors'!$D$35*('Calcs - Power'!$C24+'Calcs - Power'!$D24+'Calcs - Power'!$E24+'Calcs - Power'!$F24))</f>
        <v>68472.67140508513</v>
      </c>
      <c r="Y25" s="359">
        <f>(102*'Emissions Factors'!$C$38*'Calcs - Power'!$G24+'Emissions Factors'!$C$37*('Calcs - Power'!$H24+'Calcs - Power'!$I24+'Calcs - Power'!$J24+'Calcs - Power'!$K24))</f>
        <v>7148.2119653114787</v>
      </c>
      <c r="Z25" s="366">
        <f>(102*'Emissions Factors'!$C$38*'Calcs - Power'!$B24+'Emissions Factors'!$C$37*('Calcs - Power'!$C24+'Calcs - Power'!$D24+'Calcs - Power'!$E24+'Calcs - Power'!$F24))</f>
        <v>51335.501249848065</v>
      </c>
      <c r="AA25" s="359">
        <f>(102*'Emissions Factors'!$C$36*'Calcs - Power'!$G24+'Emissions Factors'!$C$35*('Calcs - Power'!$H24+'Calcs - Power'!$I24+'Calcs - Power'!$J24+'Calcs - Power'!$K24))</f>
        <v>9848.9279504011192</v>
      </c>
      <c r="AB25" s="366">
        <f>(102*'Emissions Factors'!$C$36*'Calcs - Power'!$B24+'Emissions Factors'!$C$35*('Calcs - Power'!$C24+'Calcs - Power'!$D24+'Calcs - Power'!$E24+'Calcs - Power'!$F24))</f>
        <v>68472.67140508513</v>
      </c>
      <c r="AI25" s="358">
        <f t="shared" si="12"/>
        <v>13</v>
      </c>
      <c r="AJ25" s="359">
        <f>(('Methane Leakage'!$G$6/'Methane Leakage'!$G$5)*102*'Emissions Factors'!$D$10*'Calcs - Power'!$G24+'Emissions Factors'!$D$11*('Calcs - Power'!$H24+'Calcs - Power'!$I24+'Calcs - Power'!$J24+'Calcs - Power'!$K24))</f>
        <v>1069.7457734599857</v>
      </c>
      <c r="AK25" s="366">
        <f>(('Methane Leakage'!$G$6/'Methane Leakage'!$G$5)*102*'Emissions Factors'!$D$10*'Calcs - Power'!$B24+'Emissions Factors'!$D$11*('Calcs - Power'!$C24+'Calcs - Power'!$D24+'Calcs - Power'!$E24+'Calcs - Power'!$F24))</f>
        <v>7744.5912377748737</v>
      </c>
      <c r="AL25" s="359">
        <f>(102*'Emissions Factors'!$E$10*'Calcs - Power'!$G24+'Emissions Factors'!$E$11*('Calcs - Power'!H24+'Calcs - Power'!I24+'Calcs - Power'!J24+'Calcs - Power'!K24))</f>
        <v>899.39713052242234</v>
      </c>
      <c r="AM25" s="366">
        <f>(102*'Emissions Factors'!$E$10*'Calcs - Power'!$B24+'Emissions Factors'!$E$11*('Calcs - Power'!C24+'Calcs - Power'!D24+'Calcs - Power'!E24+'Calcs - Power'!F24))</f>
        <v>6273.6996043064828</v>
      </c>
      <c r="AN25" s="359">
        <f>(102*'Emissions Factors'!$D$10*'Calcs - Power'!$G24+'Emissions Factors'!$D$11*('Calcs - Power'!$H24+'Calcs - Power'!$I24+'Calcs - Power'!$J24+'Calcs - Power'!$K24))</f>
        <v>1069.7457734599857</v>
      </c>
      <c r="AO25" s="366">
        <f>(102*'Emissions Factors'!$D$10*'Calcs - Power'!$B24+'Emissions Factors'!$D$11*('Calcs - Power'!$C24+'Calcs - Power'!$D24+'Calcs - Power'!$E24+'Calcs - Power'!$F24))</f>
        <v>7744.5912377748737</v>
      </c>
      <c r="AP25" s="367">
        <f>(102*'Emissions Factors'!$E$10*'Calcs - Power'!$G24+'Emissions Factors'!$E$11*('Calcs - Power'!H24+'Calcs - Power'!I24+'Calcs - Power'!J24+'Calcs - Power'!K24))</f>
        <v>899.39713052242234</v>
      </c>
      <c r="AQ25" s="366">
        <f>(102*'Emissions Factors'!$E$10*'Calcs - Power'!$B24+'Emissions Factors'!$E$11*('Calcs - Power'!C24+'Calcs - Power'!D24+'Calcs - Power'!E24+'Calcs - Power'!F24))</f>
        <v>6273.6996043064828</v>
      </c>
      <c r="AS25" s="357"/>
      <c r="AT25" s="357"/>
      <c r="AU25" s="357"/>
      <c r="AV25" s="357"/>
      <c r="AX25" s="358">
        <f t="shared" si="13"/>
        <v>13</v>
      </c>
      <c r="AY25" s="359">
        <f>(('Methane Leakage'!$G$6/'Methane Leakage'!$G$5)*102*'Emissions Factors'!$F$10*'Calcs - Power'!$G24+'Emissions Factors'!$F$11*('Calcs - Power'!$H24+'Calcs - Power'!$I24+'Calcs - Power'!$J24+'Calcs - Power'!$K24))</f>
        <v>1339649.6395122583</v>
      </c>
      <c r="AZ25" s="366">
        <f>(('Methane Leakage'!$G$6/'Methane Leakage'!$G$5)*102*'Emissions Factors'!$F$10*'Calcs - Power'!$B24+'Emissions Factors'!$F$11*('Calcs - Power'!$C24+'Calcs - Power'!$D24+'Calcs - Power'!$E24+'Calcs - Power'!$F24))</f>
        <v>9615398.4018598553</v>
      </c>
      <c r="BA25" s="359">
        <f>(102*'Emissions Factors'!$G$10*'Calcs - Power'!$G24+'Emissions Factors'!$G$11*('Calcs - Power'!H24+'Calcs - Power'!I24+'Calcs - Power'!J24+'Calcs - Power'!K24))</f>
        <v>1025160.783202827</v>
      </c>
      <c r="BB25" s="366">
        <f>(102*'Emissions Factors'!$G$10*'Calcs - Power'!$B24+'Emissions Factors'!$G$11*('Calcs - Power'!C24+'Calcs - Power'!D24+'Calcs - Power'!E24+'Calcs - Power'!F24))</f>
        <v>7138641.7971293591</v>
      </c>
      <c r="BC25" s="359">
        <f>(102*'Emissions Factors'!$F$10*'Calcs - Power'!$G24+'Emissions Factors'!$F$11*('Calcs - Power'!$H24+'Calcs - Power'!$I24+'Calcs - Power'!$J24+'Calcs - Power'!$K24))</f>
        <v>1339649.6395122583</v>
      </c>
      <c r="BD25" s="366">
        <f>(102*'Emissions Factors'!$F$10*'Calcs - Power'!$B24+'Emissions Factors'!$F$11*('Calcs - Power'!$C24+'Calcs - Power'!$D24+'Calcs - Power'!$E24+'Calcs - Power'!$F24))</f>
        <v>9615398.4018598553</v>
      </c>
      <c r="BE25" s="359">
        <f>(102*'Emissions Factors'!$G$10*'Calcs - Power'!$G24+'Emissions Factors'!$G$11*('Calcs - Power'!H24+'Calcs - Power'!I24+'Calcs - Power'!J24+'Calcs - Power'!K24))</f>
        <v>1025160.783202827</v>
      </c>
      <c r="BF25" s="366">
        <f>(102*'Emissions Factors'!$G$10*'Calcs - Power'!$B24+'Emissions Factors'!$G$11*('Calcs - Power'!C24+'Calcs - Power'!D24+'Calcs - Power'!E24+'Calcs - Power'!F24))</f>
        <v>7138641.7971293591</v>
      </c>
    </row>
    <row r="26" spans="1:58" x14ac:dyDescent="0.3">
      <c r="A26" s="351">
        <f t="shared" si="10"/>
        <v>14</v>
      </c>
      <c r="B26" s="352">
        <f t="shared" si="0"/>
        <v>0.99999999999999989</v>
      </c>
      <c r="C26" s="363">
        <f t="shared" si="1"/>
        <v>0.99999999999999989</v>
      </c>
      <c r="D26" s="352">
        <f t="shared" si="2"/>
        <v>1</v>
      </c>
      <c r="E26" s="364">
        <f t="shared" si="3"/>
        <v>1</v>
      </c>
      <c r="F26" s="364">
        <f t="shared" si="4"/>
        <v>1</v>
      </c>
      <c r="G26" s="365">
        <f t="shared" si="5"/>
        <v>1</v>
      </c>
      <c r="O26" s="325"/>
      <c r="P26" s="358">
        <f t="shared" si="11"/>
        <v>14</v>
      </c>
      <c r="Q26" s="359">
        <f>(('Methane Leakage'!$C$6/'Methane Leakage'!$C$5)*102*'Emissions Factors'!$C$38*'Calcs - Power'!$G25+'Emissions Factors'!$C$37*('Calcs - Power'!$H25+'Calcs - Power'!$I25+'Calcs - Power'!$J25+'Calcs - Power'!$K25))</f>
        <v>7551.7203592835103</v>
      </c>
      <c r="R26" s="366">
        <f>(('Methane Leakage'!$C$6/'Methane Leakage'!$C$5)*102*'Emissions Factors'!$C$38*'Calcs - Power'!$B25+'Emissions Factors'!$C$37*('Calcs - Power'!$C25+'Calcs - Power'!$D25+'Calcs - Power'!$E25+'Calcs - Power'!$F25))</f>
        <v>58686.625350144001</v>
      </c>
      <c r="S26" s="359">
        <f>(('Methane Leakage'!$C$6/'Methane Leakage'!$C$5)*102*'Emissions Factors'!$D$38*'Calcs - Power'!$G25+'Emissions Factors'!$D$37*('Calcs - Power'!$H25+'Calcs - Power'!$I25+'Calcs - Power'!$J25+'Calcs - Power'!$K25))</f>
        <v>7551.7203592835103</v>
      </c>
      <c r="T26" s="366">
        <f>(('Methane Leakage'!$C$6/'Methane Leakage'!$C$5)*102*'Emissions Factors'!$D$38*'Calcs - Power'!$B25+'Emissions Factors'!$D$37*('Calcs - Power'!$C25+'Calcs - Power'!$D25+'Calcs - Power'!$E25+'Calcs - Power'!$F25))</f>
        <v>58686.625350144001</v>
      </c>
      <c r="U26" s="361">
        <f>(102*'Emissions Factors'!$C$36*'Calcs - Power'!$G25+'Emissions Factors'!$C$35*('Calcs - Power'!$H25+'Calcs - Power'!$I25+'Calcs - Power'!$J25+'Calcs - Power'!$K25))</f>
        <v>10479.607268581311</v>
      </c>
      <c r="V26" s="366">
        <f>(102*'Emissions Factors'!$C$36*'Calcs - Power'!$B25+'Emissions Factors'!$C$35*('Calcs - Power'!$C25+'Calcs - Power'!$D25+'Calcs - Power'!$E25+'Calcs - Power'!$F25))</f>
        <v>78637.947572892561</v>
      </c>
      <c r="W26" s="359">
        <f>(102*'Emissions Factors'!$D$36*'Calcs - Power'!$G25+'Emissions Factors'!$D$35*('Calcs - Power'!$H25+'Calcs - Power'!$I25+'Calcs - Power'!$J25+'Calcs - Power'!$K25))</f>
        <v>10479.607268581311</v>
      </c>
      <c r="X26" s="366">
        <f>(102*'Emissions Factors'!$D$36*'Calcs - Power'!$B25+'Emissions Factors'!$D$35*('Calcs - Power'!$C25+'Calcs - Power'!$D25+'Calcs - Power'!$E25+'Calcs - Power'!$F25))</f>
        <v>78637.947572892561</v>
      </c>
      <c r="Y26" s="359">
        <f>(102*'Emissions Factors'!$C$38*'Calcs - Power'!$G25+'Emissions Factors'!$C$37*('Calcs - Power'!$H25+'Calcs - Power'!$I25+'Calcs - Power'!$J25+'Calcs - Power'!$K25))</f>
        <v>7551.7203592835103</v>
      </c>
      <c r="Z26" s="366">
        <f>(102*'Emissions Factors'!$C$38*'Calcs - Power'!$B25+'Emissions Factors'!$C$37*('Calcs - Power'!$C25+'Calcs - Power'!$D25+'Calcs - Power'!$E25+'Calcs - Power'!$F25))</f>
        <v>58686.625350144001</v>
      </c>
      <c r="AA26" s="359">
        <f>(102*'Emissions Factors'!$C$36*'Calcs - Power'!$G25+'Emissions Factors'!$C$35*('Calcs - Power'!$H25+'Calcs - Power'!$I25+'Calcs - Power'!$J25+'Calcs - Power'!$K25))</f>
        <v>10479.607268581311</v>
      </c>
      <c r="AB26" s="366">
        <f>(102*'Emissions Factors'!$C$36*'Calcs - Power'!$B25+'Emissions Factors'!$C$35*('Calcs - Power'!$C25+'Calcs - Power'!$D25+'Calcs - Power'!$E25+'Calcs - Power'!$F25))</f>
        <v>78637.947572892561</v>
      </c>
      <c r="AH26" s="325"/>
      <c r="AI26" s="358">
        <f t="shared" si="12"/>
        <v>14</v>
      </c>
      <c r="AJ26" s="359">
        <f>(('Methane Leakage'!$G$6/'Methane Leakage'!$G$5)*102*'Emissions Factors'!$D$10*'Calcs - Power'!$G25+'Emissions Factors'!$D$11*('Calcs - Power'!$H25+'Calcs - Power'!$I25+'Calcs - Power'!$J25+'Calcs - Power'!$K25))</f>
        <v>1128.0763551705127</v>
      </c>
      <c r="AK26" s="366">
        <f>(('Methane Leakage'!$G$6/'Methane Leakage'!$G$5)*102*'Emissions Factors'!$D$10*'Calcs - Power'!$B25+'Emissions Factors'!$D$11*('Calcs - Power'!$C25+'Calcs - Power'!$D25+'Calcs - Power'!$E25+'Calcs - Power'!$F25))</f>
        <v>8843.6917335379258</v>
      </c>
      <c r="AL26" s="359">
        <f>(102*'Emissions Factors'!$E$10*'Calcs - Power'!$G25+'Emissions Factors'!$E$11*('Calcs - Power'!H25+'Calcs - Power'!I25+'Calcs - Power'!J25+'Calcs - Power'!K25))</f>
        <v>956.3013281041957</v>
      </c>
      <c r="AM26" s="366">
        <f>(102*'Emissions Factors'!$E$10*'Calcs - Power'!$B25+'Emissions Factors'!$E$11*('Calcs - Power'!C25+'Calcs - Power'!D25+'Calcs - Power'!E25+'Calcs - Power'!F25))</f>
        <v>7201.6463460530349</v>
      </c>
      <c r="AN26" s="359">
        <f>(102*'Emissions Factors'!$D$10*'Calcs - Power'!$G25+'Emissions Factors'!$D$11*('Calcs - Power'!$H25+'Calcs - Power'!$I25+'Calcs - Power'!$J25+'Calcs - Power'!$K25))</f>
        <v>1128.0763551705127</v>
      </c>
      <c r="AO26" s="366">
        <f>(102*'Emissions Factors'!$D$10*'Calcs - Power'!$B25+'Emissions Factors'!$D$11*('Calcs - Power'!$C25+'Calcs - Power'!$D25+'Calcs - Power'!$E25+'Calcs - Power'!$F25))</f>
        <v>8843.6917335379258</v>
      </c>
      <c r="AP26" s="367">
        <f>(102*'Emissions Factors'!$E$10*'Calcs - Power'!$G25+'Emissions Factors'!$E$11*('Calcs - Power'!H25+'Calcs - Power'!I25+'Calcs - Power'!J25+'Calcs - Power'!K25))</f>
        <v>956.3013281041957</v>
      </c>
      <c r="AQ26" s="366">
        <f>(102*'Emissions Factors'!$E$10*'Calcs - Power'!$B25+'Emissions Factors'!$E$11*('Calcs - Power'!C25+'Calcs - Power'!D25+'Calcs - Power'!E25+'Calcs - Power'!F25))</f>
        <v>7201.6463460530349</v>
      </c>
      <c r="AS26" s="357"/>
      <c r="AT26" s="357"/>
      <c r="AU26" s="357"/>
      <c r="AV26" s="357"/>
      <c r="AW26" s="325"/>
      <c r="AX26" s="358">
        <f t="shared" si="13"/>
        <v>14</v>
      </c>
      <c r="AY26" s="359">
        <f>(('Methane Leakage'!$G$6/'Methane Leakage'!$G$5)*102*'Emissions Factors'!$F$10*'Calcs - Power'!$G25+'Emissions Factors'!$F$11*('Calcs - Power'!$H25+'Calcs - Power'!$I25+'Calcs - Power'!$J25+'Calcs - Power'!$K25))</f>
        <v>1415450.3673093703</v>
      </c>
      <c r="AZ26" s="366">
        <f>(('Methane Leakage'!$G$6/'Methane Leakage'!$G$5)*102*'Emissions Factors'!$F$10*'Calcs - Power'!$B25+'Emissions Factors'!$F$11*('Calcs - Power'!$C25+'Calcs - Power'!$D25+'Calcs - Power'!$E25+'Calcs - Power'!$F25))</f>
        <v>10993164.008729599</v>
      </c>
      <c r="BA26" s="359">
        <f>(102*'Emissions Factors'!$G$10*'Calcs - Power'!$G25+'Emissions Factors'!$G$11*('Calcs - Power'!H25+'Calcs - Power'!I25+'Calcs - Power'!J25+'Calcs - Power'!K25))</f>
        <v>1090429.4483735291</v>
      </c>
      <c r="BB26" s="366">
        <f>(102*'Emissions Factors'!$G$10*'Calcs - Power'!$B25+'Emissions Factors'!$G$11*('Calcs - Power'!C25+'Calcs - Power'!D25+'Calcs - Power'!E25+'Calcs - Power'!F25))</f>
        <v>8196544.8600088134</v>
      </c>
      <c r="BC26" s="359">
        <f>(102*'Emissions Factors'!$F$10*'Calcs - Power'!$G25+'Emissions Factors'!$F$11*('Calcs - Power'!$H25+'Calcs - Power'!$I25+'Calcs - Power'!$J25+'Calcs - Power'!$K25))</f>
        <v>1415450.3673093703</v>
      </c>
      <c r="BD26" s="366">
        <f>(102*'Emissions Factors'!$F$10*'Calcs - Power'!$B25+'Emissions Factors'!$F$11*('Calcs - Power'!$C25+'Calcs - Power'!$D25+'Calcs - Power'!$E25+'Calcs - Power'!$F25))</f>
        <v>10993164.008729599</v>
      </c>
      <c r="BE26" s="359">
        <f>(102*'Emissions Factors'!$G$10*'Calcs - Power'!$G25+'Emissions Factors'!$G$11*('Calcs - Power'!H25+'Calcs - Power'!I25+'Calcs - Power'!J25+'Calcs - Power'!K25))</f>
        <v>1090429.4483735291</v>
      </c>
      <c r="BF26" s="366">
        <f>(102*'Emissions Factors'!$G$10*'Calcs - Power'!$B25+'Emissions Factors'!$G$11*('Calcs - Power'!C25+'Calcs - Power'!D25+'Calcs - Power'!E25+'Calcs - Power'!F25))</f>
        <v>8196544.8600088134</v>
      </c>
    </row>
    <row r="27" spans="1:58" x14ac:dyDescent="0.3">
      <c r="A27" s="351">
        <f t="shared" si="10"/>
        <v>15</v>
      </c>
      <c r="B27" s="352">
        <f t="shared" si="0"/>
        <v>0.99999999999999989</v>
      </c>
      <c r="C27" s="363">
        <f t="shared" si="1"/>
        <v>0.99999999999999989</v>
      </c>
      <c r="D27" s="352">
        <f t="shared" si="2"/>
        <v>1</v>
      </c>
      <c r="E27" s="364">
        <f t="shared" si="3"/>
        <v>1</v>
      </c>
      <c r="F27" s="364">
        <f t="shared" si="4"/>
        <v>1</v>
      </c>
      <c r="G27" s="365">
        <f t="shared" si="5"/>
        <v>1</v>
      </c>
      <c r="O27" s="369"/>
      <c r="P27" s="358">
        <f t="shared" si="11"/>
        <v>15</v>
      </c>
      <c r="Q27" s="359">
        <f>(('Methane Leakage'!$C$6/'Methane Leakage'!$C$5)*102*'Emissions Factors'!$C$38*'Calcs - Power'!$G26+'Emissions Factors'!$C$37*('Calcs - Power'!$H26+'Calcs - Power'!$I26+'Calcs - Power'!$J26+'Calcs - Power'!$K26))</f>
        <v>7941.8122107509171</v>
      </c>
      <c r="R27" s="366">
        <f>(('Methane Leakage'!$C$6/'Methane Leakage'!$C$5)*102*'Emissions Factors'!$C$38*'Calcs - Power'!$B26+'Emissions Factors'!$C$37*('Calcs - Power'!$C26+'Calcs - Power'!$D26+'Calcs - Power'!$E26+'Calcs - Power'!$F26))</f>
        <v>66434.470594042796</v>
      </c>
      <c r="S27" s="359">
        <f>(('Methane Leakage'!$C$6/'Methane Leakage'!$C$5)*102*'Emissions Factors'!$D$38*'Calcs - Power'!$G26+'Emissions Factors'!$D$37*('Calcs - Power'!$H26+'Calcs - Power'!$I26+'Calcs - Power'!$J26+'Calcs - Power'!$K26))</f>
        <v>7941.8122107509171</v>
      </c>
      <c r="T27" s="366">
        <f>(('Methane Leakage'!$C$6/'Methane Leakage'!$C$5)*102*'Emissions Factors'!$D$38*'Calcs - Power'!$B26+'Emissions Factors'!$D$37*('Calcs - Power'!$C26+'Calcs - Power'!$D26+'Calcs - Power'!$E26+'Calcs - Power'!$F26))</f>
        <v>66434.470594042796</v>
      </c>
      <c r="U27" s="361">
        <f>(102*'Emissions Factors'!$C$36*'Calcs - Power'!$G26+'Emissions Factors'!$C$35*('Calcs - Power'!$H26+'Calcs - Power'!$I26+'Calcs - Power'!$J26+'Calcs - Power'!$K26))</f>
        <v>11098.502998959775</v>
      </c>
      <c r="V27" s="366">
        <f>(102*'Emissions Factors'!$C$36*'Calcs - Power'!$B26+'Emissions Factors'!$C$35*('Calcs - Power'!$C26+'Calcs - Power'!$D26+'Calcs - Power'!$E26+'Calcs - Power'!$F26))</f>
        <v>89427.958520111017</v>
      </c>
      <c r="W27" s="359">
        <f>(102*'Emissions Factors'!$D$36*'Calcs - Power'!$G26+'Emissions Factors'!$D$35*('Calcs - Power'!$H26+'Calcs - Power'!$I26+'Calcs - Power'!$J26+'Calcs - Power'!$K26))</f>
        <v>11098.502998959775</v>
      </c>
      <c r="X27" s="366">
        <f>(102*'Emissions Factors'!$D$36*'Calcs - Power'!$B26+'Emissions Factors'!$D$35*('Calcs - Power'!$C26+'Calcs - Power'!$D26+'Calcs - Power'!$E26+'Calcs - Power'!$F26))</f>
        <v>89427.958520111017</v>
      </c>
      <c r="Y27" s="359">
        <f>(102*'Emissions Factors'!$C$38*'Calcs - Power'!$G26+'Emissions Factors'!$C$37*('Calcs - Power'!$H26+'Calcs - Power'!$I26+'Calcs - Power'!$J26+'Calcs - Power'!$K26))</f>
        <v>7941.8122107509171</v>
      </c>
      <c r="Z27" s="366">
        <f>(102*'Emissions Factors'!$C$38*'Calcs - Power'!$B26+'Emissions Factors'!$C$37*('Calcs - Power'!$C26+'Calcs - Power'!$D26+'Calcs - Power'!$E26+'Calcs - Power'!$F26))</f>
        <v>66434.470594042796</v>
      </c>
      <c r="AA27" s="359">
        <f>(102*'Emissions Factors'!$C$36*'Calcs - Power'!$G26+'Emissions Factors'!$C$35*('Calcs - Power'!$H26+'Calcs - Power'!$I26+'Calcs - Power'!$J26+'Calcs - Power'!$K26))</f>
        <v>11098.502998959775</v>
      </c>
      <c r="AB27" s="366">
        <f>(102*'Emissions Factors'!$C$36*'Calcs - Power'!$B26+'Emissions Factors'!$C$35*('Calcs - Power'!$C26+'Calcs - Power'!$D26+'Calcs - Power'!$E26+'Calcs - Power'!$F26))</f>
        <v>89427.958520111017</v>
      </c>
      <c r="AH27" s="369"/>
      <c r="AI27" s="358">
        <f t="shared" si="12"/>
        <v>15</v>
      </c>
      <c r="AJ27" s="359">
        <f>(('Methane Leakage'!$G$6/'Methane Leakage'!$G$5)*102*'Emissions Factors'!$D$10*'Calcs - Power'!$G26+'Emissions Factors'!$D$11*('Calcs - Power'!$H26+'Calcs - Power'!$I26+'Calcs - Power'!$J26+'Calcs - Power'!$K26))</f>
        <v>1184.2147655555295</v>
      </c>
      <c r="AK27" s="366">
        <f>(('Methane Leakage'!$G$6/'Methane Leakage'!$G$5)*102*'Emissions Factors'!$D$10*'Calcs - Power'!$B26+'Emissions Factors'!$D$11*('Calcs - Power'!$C26+'Calcs - Power'!$D26+'Calcs - Power'!$E26+'Calcs - Power'!$F26))</f>
        <v>10000.013363478962</v>
      </c>
      <c r="AL27" s="359">
        <f>(102*'Emissions Factors'!$E$10*'Calcs - Power'!$G26+'Emissions Factors'!$E$11*('Calcs - Power'!H26+'Calcs - Power'!I26+'Calcs - Power'!J26+'Calcs - Power'!K26))</f>
        <v>1012.0676570712907</v>
      </c>
      <c r="AM27" s="366">
        <f>(102*'Emissions Factors'!$E$10*'Calcs - Power'!$B26+'Emissions Factors'!$E$11*('Calcs - Power'!C26+'Calcs - Power'!D26+'Calcs - Power'!E26+'Calcs - Power'!F26))</f>
        <v>8185.9230173840642</v>
      </c>
      <c r="AN27" s="359">
        <f>(102*'Emissions Factors'!$D$10*'Calcs - Power'!$G26+'Emissions Factors'!$D$11*('Calcs - Power'!$H26+'Calcs - Power'!$I26+'Calcs - Power'!$J26+'Calcs - Power'!$K26))</f>
        <v>1184.2147655555295</v>
      </c>
      <c r="AO27" s="366">
        <f>(102*'Emissions Factors'!$D$10*'Calcs - Power'!$B26+'Emissions Factors'!$D$11*('Calcs - Power'!$C26+'Calcs - Power'!$D26+'Calcs - Power'!$E26+'Calcs - Power'!$F26))</f>
        <v>10000.013363478962</v>
      </c>
      <c r="AP27" s="367">
        <f>(102*'Emissions Factors'!$E$10*'Calcs - Power'!$G26+'Emissions Factors'!$E$11*('Calcs - Power'!H26+'Calcs - Power'!I26+'Calcs - Power'!J26+'Calcs - Power'!K26))</f>
        <v>1012.0676570712907</v>
      </c>
      <c r="AQ27" s="366">
        <f>(102*'Emissions Factors'!$E$10*'Calcs - Power'!$B26+'Emissions Factors'!$E$11*('Calcs - Power'!C26+'Calcs - Power'!D26+'Calcs - Power'!E26+'Calcs - Power'!F26))</f>
        <v>8185.9230173840642</v>
      </c>
      <c r="AS27" s="357"/>
      <c r="AT27" s="357"/>
      <c r="AU27" s="357"/>
      <c r="AV27" s="357"/>
      <c r="AW27" s="369"/>
      <c r="AX27" s="358">
        <f t="shared" si="13"/>
        <v>15</v>
      </c>
      <c r="AY27" s="359">
        <f>(('Methane Leakage'!$G$6/'Methane Leakage'!$G$5)*102*'Emissions Factors'!$F$10*'Calcs - Power'!$G26+'Emissions Factors'!$F$11*('Calcs - Power'!$H26+'Calcs - Power'!$I26+'Calcs - Power'!$J26+'Calcs - Power'!$K26))</f>
        <v>1488752.7536967471</v>
      </c>
      <c r="AZ27" s="366">
        <f>(('Methane Leakage'!$G$6/'Methane Leakage'!$G$5)*102*'Emissions Factors'!$F$10*'Calcs - Power'!$B26+'Emissions Factors'!$F$11*('Calcs - Power'!$C26+'Calcs - Power'!$D26+'Calcs - Power'!$E26+'Calcs - Power'!$F26))</f>
        <v>12445466.505541118</v>
      </c>
      <c r="BA27" s="359">
        <f>(102*'Emissions Factors'!$G$10*'Calcs - Power'!$G26+'Emissions Factors'!$G$11*('Calcs - Power'!H26+'Calcs - Power'!I26+'Calcs - Power'!J26+'Calcs - Power'!K26))</f>
        <v>1154437.6860505962</v>
      </c>
      <c r="BB27" s="366">
        <f>(102*'Emissions Factors'!$G$10*'Calcs - Power'!$B26+'Emissions Factors'!$G$11*('Calcs - Power'!C26+'Calcs - Power'!D26+'Calcs - Power'!E26+'Calcs - Power'!F26))</f>
        <v>9319080.6006173827</v>
      </c>
      <c r="BC27" s="359">
        <f>(102*'Emissions Factors'!$F$10*'Calcs - Power'!$G26+'Emissions Factors'!$F$11*('Calcs - Power'!$H26+'Calcs - Power'!$I26+'Calcs - Power'!$J26+'Calcs - Power'!$K26))</f>
        <v>1488752.7536967471</v>
      </c>
      <c r="BD27" s="366">
        <f>(102*'Emissions Factors'!$F$10*'Calcs - Power'!$B26+'Emissions Factors'!$F$11*('Calcs - Power'!$C26+'Calcs - Power'!$D26+'Calcs - Power'!$E26+'Calcs - Power'!$F26))</f>
        <v>12445466.505541118</v>
      </c>
      <c r="BE27" s="359">
        <f>(102*'Emissions Factors'!$G$10*'Calcs - Power'!$G26+'Emissions Factors'!$G$11*('Calcs - Power'!H26+'Calcs - Power'!I26+'Calcs - Power'!J26+'Calcs - Power'!K26))</f>
        <v>1154437.6860505962</v>
      </c>
      <c r="BF27" s="366">
        <f>(102*'Emissions Factors'!$G$10*'Calcs - Power'!$B26+'Emissions Factors'!$G$11*('Calcs - Power'!C26+'Calcs - Power'!D26+'Calcs - Power'!E26+'Calcs - Power'!F26))</f>
        <v>9319080.6006173827</v>
      </c>
    </row>
    <row r="28" spans="1:58" x14ac:dyDescent="0.3">
      <c r="A28" s="351">
        <f t="shared" si="10"/>
        <v>16</v>
      </c>
      <c r="B28" s="352">
        <f t="shared" si="0"/>
        <v>1</v>
      </c>
      <c r="C28" s="363">
        <f t="shared" si="1"/>
        <v>1</v>
      </c>
      <c r="D28" s="352">
        <f t="shared" si="2"/>
        <v>1</v>
      </c>
      <c r="E28" s="364">
        <f t="shared" si="3"/>
        <v>1</v>
      </c>
      <c r="F28" s="364">
        <f t="shared" si="4"/>
        <v>1</v>
      </c>
      <c r="G28" s="365">
        <f t="shared" si="5"/>
        <v>1</v>
      </c>
      <c r="P28" s="358">
        <f t="shared" si="11"/>
        <v>16</v>
      </c>
      <c r="Q28" s="359">
        <f>(('Methane Leakage'!$C$6/'Methane Leakage'!$C$5)*102*'Emissions Factors'!$C$38*'Calcs - Power'!$G27+'Emissions Factors'!$C$37*('Calcs - Power'!$H27+'Calcs - Power'!$I27+'Calcs - Power'!$J27+'Calcs - Power'!$K27))</f>
        <v>8319.4000392353137</v>
      </c>
      <c r="R28" s="366">
        <f>(('Methane Leakage'!$C$6/'Methane Leakage'!$C$5)*102*'Emissions Factors'!$C$38*'Calcs - Power'!$B27+'Emissions Factors'!$C$37*('Calcs - Power'!$C27+'Calcs - Power'!$D27+'Calcs - Power'!$E27+'Calcs - Power'!$F27))</f>
        <v>74566.082507374289</v>
      </c>
      <c r="S28" s="359">
        <f>(('Methane Leakage'!$C$6/'Methane Leakage'!$C$5)*102*'Emissions Factors'!$D$38*'Calcs - Power'!$G27+'Emissions Factors'!$D$37*('Calcs - Power'!$H27+'Calcs - Power'!$I27+'Calcs - Power'!$J27+'Calcs - Power'!$K27))</f>
        <v>8319.4000392353137</v>
      </c>
      <c r="T28" s="366">
        <f>(('Methane Leakage'!$C$6/'Methane Leakage'!$C$5)*102*'Emissions Factors'!$D$38*'Calcs - Power'!$B27+'Emissions Factors'!$D$37*('Calcs - Power'!$C27+'Calcs - Power'!$D27+'Calcs - Power'!$E27+'Calcs - Power'!$F27))</f>
        <v>74566.082507374289</v>
      </c>
      <c r="U28" s="361">
        <f>(102*'Emissions Factors'!$C$36*'Calcs - Power'!$G27+'Emissions Factors'!$C$35*('Calcs - Power'!$H27+'Calcs - Power'!$I27+'Calcs - Power'!$J27+'Calcs - Power'!$K27))</f>
        <v>11706.228810634706</v>
      </c>
      <c r="V28" s="366">
        <f>(102*'Emissions Factors'!$C$36*'Calcs - Power'!$B27+'Emissions Factors'!$C$35*('Calcs - Power'!$C27+'Calcs - Power'!$D27+'Calcs - Power'!$E27+'Calcs - Power'!$F27))</f>
        <v>100831.23067271103</v>
      </c>
      <c r="W28" s="359">
        <f>(102*'Emissions Factors'!$D$36*'Calcs - Power'!$G27+'Emissions Factors'!$D$35*('Calcs - Power'!$H27+'Calcs - Power'!$I27+'Calcs - Power'!$J27+'Calcs - Power'!$K27))</f>
        <v>11706.228810634706</v>
      </c>
      <c r="X28" s="366">
        <f>(102*'Emissions Factors'!$D$36*'Calcs - Power'!$B27+'Emissions Factors'!$D$35*('Calcs - Power'!$C27+'Calcs - Power'!$D27+'Calcs - Power'!$E27+'Calcs - Power'!$F27))</f>
        <v>100831.23067271103</v>
      </c>
      <c r="Y28" s="359">
        <f>(102*'Emissions Factors'!$C$38*'Calcs - Power'!$G27+'Emissions Factors'!$C$37*('Calcs - Power'!$H27+'Calcs - Power'!$I27+'Calcs - Power'!$J27+'Calcs - Power'!$K27))</f>
        <v>8319.4000392353137</v>
      </c>
      <c r="Z28" s="366">
        <f>(102*'Emissions Factors'!$C$38*'Calcs - Power'!$B27+'Emissions Factors'!$C$37*('Calcs - Power'!$C27+'Calcs - Power'!$D27+'Calcs - Power'!$E27+'Calcs - Power'!$F27))</f>
        <v>74566.082507374289</v>
      </c>
      <c r="AA28" s="359">
        <f>(102*'Emissions Factors'!$C$36*'Calcs - Power'!$G27+'Emissions Factors'!$C$35*('Calcs - Power'!$H27+'Calcs - Power'!$I27+'Calcs - Power'!$J27+'Calcs - Power'!$K27))</f>
        <v>11706.228810634706</v>
      </c>
      <c r="AB28" s="366">
        <f>(102*'Emissions Factors'!$C$36*'Calcs - Power'!$B27+'Emissions Factors'!$C$35*('Calcs - Power'!$C27+'Calcs - Power'!$D27+'Calcs - Power'!$E27+'Calcs - Power'!$F27))</f>
        <v>100831.23067271103</v>
      </c>
      <c r="AI28" s="358">
        <f t="shared" si="12"/>
        <v>16</v>
      </c>
      <c r="AJ28" s="359">
        <f>(('Methane Leakage'!$G$6/'Methane Leakage'!$G$5)*102*'Emissions Factors'!$D$10*'Calcs - Power'!$G27+'Emissions Factors'!$D$11*('Calcs - Power'!$H27+'Calcs - Power'!$I27+'Calcs - Power'!$J27+'Calcs - Power'!$K27))</f>
        <v>1238.3152696416741</v>
      </c>
      <c r="AK28" s="366">
        <f>(('Methane Leakage'!$G$6/'Methane Leakage'!$G$5)*102*'Emissions Factors'!$D$10*'Calcs - Power'!$B27+'Emissions Factors'!$D$11*('Calcs - Power'!$C27+'Calcs - Power'!$D27+'Calcs - Power'!$E27+'Calcs - Power'!$F27))</f>
        <v>11211.442090747381</v>
      </c>
      <c r="AL28" s="359">
        <f>(102*'Emissions Factors'!$E$10*'Calcs - Power'!$G27+'Emissions Factors'!$E$11*('Calcs - Power'!H27+'Calcs - Power'!I27+'Calcs - Power'!J27+'Calcs - Power'!K27))</f>
        <v>1066.7580921299925</v>
      </c>
      <c r="AM28" s="366">
        <f>(102*'Emissions Factors'!$E$10*'Calcs - Power'!$B27+'Emissions Factors'!$E$11*('Calcs - Power'!C27+'Calcs - Power'!D27+'Calcs - Power'!E27+'Calcs - Power'!F27))</f>
        <v>9225.4230718446197</v>
      </c>
      <c r="AN28" s="359">
        <f>(102*'Emissions Factors'!$D$10*'Calcs - Power'!$G27+'Emissions Factors'!$D$11*('Calcs - Power'!$H27+'Calcs - Power'!$I27+'Calcs - Power'!$J27+'Calcs - Power'!$K27))</f>
        <v>1238.3152696416741</v>
      </c>
      <c r="AO28" s="366">
        <f>(102*'Emissions Factors'!$D$10*'Calcs - Power'!$B27+'Emissions Factors'!$D$11*('Calcs - Power'!$C27+'Calcs - Power'!$D27+'Calcs - Power'!$E27+'Calcs - Power'!$F27))</f>
        <v>11211.442090747381</v>
      </c>
      <c r="AP28" s="367">
        <f>(102*'Emissions Factors'!$E$10*'Calcs - Power'!$G27+'Emissions Factors'!$E$11*('Calcs - Power'!H27+'Calcs - Power'!I27+'Calcs - Power'!J27+'Calcs - Power'!K27))</f>
        <v>1066.7580921299925</v>
      </c>
      <c r="AQ28" s="366">
        <f>(102*'Emissions Factors'!$E$10*'Calcs - Power'!$B27+'Emissions Factors'!$E$11*('Calcs - Power'!C27+'Calcs - Power'!D27+'Calcs - Power'!E27+'Calcs - Power'!F27))</f>
        <v>9225.4230718446197</v>
      </c>
      <c r="AS28" s="357"/>
      <c r="AT28" s="357"/>
      <c r="AU28" s="357"/>
      <c r="AV28" s="357"/>
      <c r="AX28" s="358">
        <f t="shared" si="13"/>
        <v>16</v>
      </c>
      <c r="AY28" s="359">
        <f>(('Methane Leakage'!$G$6/'Methane Leakage'!$G$5)*102*'Emissions Factors'!$F$10*'Calcs - Power'!$G27+'Emissions Factors'!$F$11*('Calcs - Power'!$H27+'Calcs - Power'!$I27+'Calcs - Power'!$J27+'Calcs - Power'!$K27))</f>
        <v>1559726.2721699807</v>
      </c>
      <c r="AZ28" s="366">
        <f>(('Methane Leakage'!$G$6/'Methane Leakage'!$G$5)*102*'Emissions Factors'!$F$10*'Calcs - Power'!$B27+'Emissions Factors'!$F$11*('Calcs - Power'!$C27+'Calcs - Power'!$D27+'Calcs - Power'!$E27+'Calcs - Power'!$F27))</f>
        <v>13969893.364661016</v>
      </c>
      <c r="BA28" s="359">
        <f>(102*'Emissions Factors'!$G$10*'Calcs - Power'!$G27+'Emissions Factors'!$G$11*('Calcs - Power'!H27+'Calcs - Power'!I27+'Calcs - Power'!J27+'Calcs - Power'!K27))</f>
        <v>1217252.6268362335</v>
      </c>
      <c r="BB28" s="366">
        <f>(102*'Emissions Factors'!$G$10*'Calcs - Power'!$B27+'Emissions Factors'!$G$11*('Calcs - Power'!C27+'Calcs - Power'!D27+'Calcs - Power'!E27+'Calcs - Power'!F27))</f>
        <v>10505022.512077181</v>
      </c>
      <c r="BC28" s="359">
        <f>(102*'Emissions Factors'!$F$10*'Calcs - Power'!$G27+'Emissions Factors'!$F$11*('Calcs - Power'!$H27+'Calcs - Power'!$I27+'Calcs - Power'!$J27+'Calcs - Power'!$K27))</f>
        <v>1559726.2721699807</v>
      </c>
      <c r="BD28" s="366">
        <f>(102*'Emissions Factors'!$F$10*'Calcs - Power'!$B27+'Emissions Factors'!$F$11*('Calcs - Power'!$C27+'Calcs - Power'!$D27+'Calcs - Power'!$E27+'Calcs - Power'!$F27))</f>
        <v>13969893.364661016</v>
      </c>
      <c r="BE28" s="359">
        <f>(102*'Emissions Factors'!$G$10*'Calcs - Power'!$G27+'Emissions Factors'!$G$11*('Calcs - Power'!H27+'Calcs - Power'!I27+'Calcs - Power'!J27+'Calcs - Power'!K27))</f>
        <v>1217252.6268362335</v>
      </c>
      <c r="BF28" s="366">
        <f>(102*'Emissions Factors'!$G$10*'Calcs - Power'!$B27+'Emissions Factors'!$G$11*('Calcs - Power'!C27+'Calcs - Power'!D27+'Calcs - Power'!E27+'Calcs - Power'!F27))</f>
        <v>10505022.512077181</v>
      </c>
    </row>
    <row r="29" spans="1:58" x14ac:dyDescent="0.3">
      <c r="A29" s="351">
        <f t="shared" si="10"/>
        <v>17</v>
      </c>
      <c r="B29" s="352">
        <f t="shared" si="0"/>
        <v>1</v>
      </c>
      <c r="C29" s="363">
        <f t="shared" si="1"/>
        <v>1</v>
      </c>
      <c r="D29" s="352">
        <f t="shared" si="2"/>
        <v>1</v>
      </c>
      <c r="E29" s="364">
        <f t="shared" si="3"/>
        <v>1</v>
      </c>
      <c r="F29" s="364">
        <f t="shared" si="4"/>
        <v>1</v>
      </c>
      <c r="G29" s="365">
        <f t="shared" si="5"/>
        <v>1</v>
      </c>
      <c r="P29" s="358">
        <f t="shared" si="11"/>
        <v>17</v>
      </c>
      <c r="Q29" s="359">
        <f>(('Methane Leakage'!$C$6/'Methane Leakage'!$C$5)*102*'Emissions Factors'!$C$38*'Calcs - Power'!$G28+'Emissions Factors'!$C$37*('Calcs - Power'!$H28+'Calcs - Power'!$I28+'Calcs - Power'!$J28+'Calcs - Power'!$K28))</f>
        <v>8685.3293939849736</v>
      </c>
      <c r="R29" s="366">
        <f>(('Methane Leakage'!$C$6/'Methane Leakage'!$C$5)*102*'Emissions Factors'!$C$38*'Calcs - Power'!$B28+'Emissions Factors'!$C$37*('Calcs - Power'!$C28+'Calcs - Power'!$D28+'Calcs - Power'!$E28+'Calcs - Power'!$F28))</f>
        <v>83069.385201041965</v>
      </c>
      <c r="S29" s="359">
        <f>(('Methane Leakage'!$C$6/'Methane Leakage'!$C$5)*102*'Emissions Factors'!$D$38*'Calcs - Power'!$G28+'Emissions Factors'!$D$37*('Calcs - Power'!$H28+'Calcs - Power'!$I28+'Calcs - Power'!$J28+'Calcs - Power'!$K28))</f>
        <v>8685.3293939849736</v>
      </c>
      <c r="T29" s="366">
        <f>(('Methane Leakage'!$C$6/'Methane Leakage'!$C$5)*102*'Emissions Factors'!$D$38*'Calcs - Power'!$B28+'Emissions Factors'!$D$37*('Calcs - Power'!$C28+'Calcs - Power'!$D28+'Calcs - Power'!$E28+'Calcs - Power'!$F28))</f>
        <v>83069.385201041965</v>
      </c>
      <c r="U29" s="361">
        <f>(102*'Emissions Factors'!$C$36*'Calcs - Power'!$G28+'Emissions Factors'!$C$35*('Calcs - Power'!$H28+'Calcs - Power'!$I28+'Calcs - Power'!$J28+'Calcs - Power'!$K28))</f>
        <v>12303.361590038385</v>
      </c>
      <c r="V29" s="366">
        <f>(102*'Emissions Factors'!$C$36*'Calcs - Power'!$B28+'Emissions Factors'!$C$35*('Calcs - Power'!$C28+'Calcs - Power'!$D28+'Calcs - Power'!$E28+'Calcs - Power'!$F28))</f>
        <v>112836.88551122727</v>
      </c>
      <c r="W29" s="359">
        <f>(102*'Emissions Factors'!$D$36*'Calcs - Power'!$G28+'Emissions Factors'!$D$35*('Calcs - Power'!$H28+'Calcs - Power'!$I28+'Calcs - Power'!$J28+'Calcs - Power'!$K28))</f>
        <v>12303.361590038385</v>
      </c>
      <c r="X29" s="366">
        <f>(102*'Emissions Factors'!$D$36*'Calcs - Power'!$B28+'Emissions Factors'!$D$35*('Calcs - Power'!$C28+'Calcs - Power'!$D28+'Calcs - Power'!$E28+'Calcs - Power'!$F28))</f>
        <v>112836.88551122727</v>
      </c>
      <c r="Y29" s="359">
        <f>(102*'Emissions Factors'!$C$38*'Calcs - Power'!$G28+'Emissions Factors'!$C$37*('Calcs - Power'!$H28+'Calcs - Power'!$I28+'Calcs - Power'!$J28+'Calcs - Power'!$K28))</f>
        <v>8685.3293939849736</v>
      </c>
      <c r="Z29" s="366">
        <f>(102*'Emissions Factors'!$C$38*'Calcs - Power'!$B28+'Emissions Factors'!$C$37*('Calcs - Power'!$C28+'Calcs - Power'!$D28+'Calcs - Power'!$E28+'Calcs - Power'!$F28))</f>
        <v>83069.385201041965</v>
      </c>
      <c r="AA29" s="359">
        <f>(102*'Emissions Factors'!$C$36*'Calcs - Power'!$G28+'Emissions Factors'!$C$35*('Calcs - Power'!$H28+'Calcs - Power'!$I28+'Calcs - Power'!$J28+'Calcs - Power'!$K28))</f>
        <v>12303.361590038385</v>
      </c>
      <c r="AB29" s="366">
        <f>(102*'Emissions Factors'!$C$36*'Calcs - Power'!$B28+'Emissions Factors'!$C$35*('Calcs - Power'!$C28+'Calcs - Power'!$D28+'Calcs - Power'!$E28+'Calcs - Power'!$F28))</f>
        <v>112836.88551122727</v>
      </c>
      <c r="AI29" s="358">
        <f t="shared" si="12"/>
        <v>17</v>
      </c>
      <c r="AJ29" s="359">
        <f>(('Methane Leakage'!$G$6/'Methane Leakage'!$G$5)*102*'Emissions Factors'!$D$10*'Calcs - Power'!$G28+'Emissions Factors'!$D$11*('Calcs - Power'!$H28+'Calcs - Power'!$I28+'Calcs - Power'!$J28+'Calcs - Power'!$K28))</f>
        <v>1290.5205837945382</v>
      </c>
      <c r="AK29" s="366">
        <f>(('Methane Leakage'!$G$6/'Methane Leakage'!$G$5)*102*'Emissions Factors'!$D$10*'Calcs - Power'!$B28+'Emissions Factors'!$D$11*('Calcs - Power'!$C28+'Calcs - Power'!$D28+'Calcs - Power'!$E28+'Calcs - Power'!$F28))</f>
        <v>12476.012291058829</v>
      </c>
      <c r="AL29" s="359">
        <f>(102*'Emissions Factors'!$E$10*'Calcs - Power'!$G28+'Emissions Factors'!$E$11*('Calcs - Power'!H28+'Calcs - Power'!I28+'Calcs - Power'!J28+'Calcs - Power'!K28))</f>
        <v>1120.4307373368406</v>
      </c>
      <c r="AM29" s="366">
        <f>(102*'Emissions Factors'!$E$10*'Calcs - Power'!$B28+'Emissions Factors'!$E$11*('Calcs - Power'!C28+'Calcs - Power'!D28+'Calcs - Power'!E28+'Calcs - Power'!F28))</f>
        <v>10319.099978328235</v>
      </c>
      <c r="AN29" s="359">
        <f>(102*'Emissions Factors'!$D$10*'Calcs - Power'!$G28+'Emissions Factors'!$D$11*('Calcs - Power'!$H28+'Calcs - Power'!$I28+'Calcs - Power'!$J28+'Calcs - Power'!$K28))</f>
        <v>1290.5205837945382</v>
      </c>
      <c r="AO29" s="366">
        <f>(102*'Emissions Factors'!$D$10*'Calcs - Power'!$B28+'Emissions Factors'!$D$11*('Calcs - Power'!$C28+'Calcs - Power'!$D28+'Calcs - Power'!$E28+'Calcs - Power'!$F28))</f>
        <v>12476.012291058829</v>
      </c>
      <c r="AP29" s="367">
        <f>(102*'Emissions Factors'!$E$10*'Calcs - Power'!$G28+'Emissions Factors'!$E$11*('Calcs - Power'!H28+'Calcs - Power'!I28+'Calcs - Power'!J28+'Calcs - Power'!K28))</f>
        <v>1120.4307373368406</v>
      </c>
      <c r="AQ29" s="366">
        <f>(102*'Emissions Factors'!$E$10*'Calcs - Power'!$B28+'Emissions Factors'!$E$11*('Calcs - Power'!C28+'Calcs - Power'!D28+'Calcs - Power'!E28+'Calcs - Power'!F28))</f>
        <v>10319.099978328235</v>
      </c>
      <c r="AS29" s="357"/>
      <c r="AT29" s="357"/>
      <c r="AU29" s="357"/>
      <c r="AV29" s="357"/>
      <c r="AX29" s="358">
        <f t="shared" si="13"/>
        <v>17</v>
      </c>
      <c r="AY29" s="359">
        <f>(('Methane Leakage'!$G$6/'Methane Leakage'!$G$5)*102*'Emissions Factors'!$F$10*'Calcs - Power'!$G28+'Emissions Factors'!$F$11*('Calcs - Power'!$H28+'Calcs - Power'!$I28+'Calcs - Power'!$J28+'Calcs - Power'!$K28))</f>
        <v>1628527.9782581457</v>
      </c>
      <c r="AZ29" s="366">
        <f>(('Methane Leakage'!$G$6/'Methane Leakage'!$G$5)*102*'Emissions Factors'!$F$10*'Calcs - Power'!$B28+'Emissions Factors'!$F$11*('Calcs - Power'!$C28+'Calcs - Power'!$D28+'Calcs - Power'!$E28+'Calcs - Power'!$F28))</f>
        <v>15564195.239711173</v>
      </c>
      <c r="BA29" s="359">
        <f>(102*'Emissions Factors'!$G$10*'Calcs - Power'!$G28+'Emissions Factors'!$G$11*('Calcs - Power'!H28+'Calcs - Power'!I28+'Calcs - Power'!J28+'Calcs - Power'!K28))</f>
        <v>1278937.2920727481</v>
      </c>
      <c r="BB29" s="366">
        <f>(102*'Emissions Factors'!$G$10*'Calcs - Power'!$B28+'Emissions Factors'!$G$11*('Calcs - Power'!C28+'Calcs - Power'!D28+'Calcs - Power'!E28+'Calcs - Power'!F28))</f>
        <v>11753209.138248049</v>
      </c>
      <c r="BC29" s="359">
        <f>(102*'Emissions Factors'!$F$10*'Calcs - Power'!$G28+'Emissions Factors'!$F$11*('Calcs - Power'!$H28+'Calcs - Power'!$I28+'Calcs - Power'!$J28+'Calcs - Power'!$K28))</f>
        <v>1628527.9782581457</v>
      </c>
      <c r="BD29" s="366">
        <f>(102*'Emissions Factors'!$F$10*'Calcs - Power'!$B28+'Emissions Factors'!$F$11*('Calcs - Power'!$C28+'Calcs - Power'!$D28+'Calcs - Power'!$E28+'Calcs - Power'!$F28))</f>
        <v>15564195.239711173</v>
      </c>
      <c r="BE29" s="359">
        <f>(102*'Emissions Factors'!$G$10*'Calcs - Power'!$G28+'Emissions Factors'!$G$11*('Calcs - Power'!H28+'Calcs - Power'!I28+'Calcs - Power'!J28+'Calcs - Power'!K28))</f>
        <v>1278937.2920727481</v>
      </c>
      <c r="BF29" s="366">
        <f>(102*'Emissions Factors'!$G$10*'Calcs - Power'!$B28+'Emissions Factors'!$G$11*('Calcs - Power'!C28+'Calcs - Power'!D28+'Calcs - Power'!E28+'Calcs - Power'!F28))</f>
        <v>11753209.138248049</v>
      </c>
    </row>
    <row r="30" spans="1:58" x14ac:dyDescent="0.3">
      <c r="A30" s="351">
        <f t="shared" si="10"/>
        <v>18</v>
      </c>
      <c r="B30" s="352">
        <f t="shared" si="0"/>
        <v>0.99999999999999989</v>
      </c>
      <c r="C30" s="363">
        <f t="shared" si="1"/>
        <v>1</v>
      </c>
      <c r="D30" s="352">
        <f t="shared" si="2"/>
        <v>1</v>
      </c>
      <c r="E30" s="364">
        <f t="shared" si="3"/>
        <v>1</v>
      </c>
      <c r="F30" s="364">
        <f t="shared" si="4"/>
        <v>1</v>
      </c>
      <c r="G30" s="365">
        <f t="shared" si="5"/>
        <v>1</v>
      </c>
      <c r="P30" s="358">
        <f t="shared" si="11"/>
        <v>18</v>
      </c>
      <c r="Q30" s="359">
        <f>(('Methane Leakage'!$C$6/'Methane Leakage'!$C$5)*102*'Emissions Factors'!$C$38*'Calcs - Power'!$G29+'Emissions Factors'!$C$37*('Calcs - Power'!$H29+'Calcs - Power'!$I29+'Calcs - Power'!$J29+'Calcs - Power'!$K29))</f>
        <v>9040.3839920953033</v>
      </c>
      <c r="R30" s="366">
        <f>(('Methane Leakage'!$C$6/'Methane Leakage'!$C$5)*102*'Emissions Factors'!$C$38*'Calcs - Power'!$B29+'Emissions Factors'!$C$37*('Calcs - Power'!$C29+'Calcs - Power'!$D29+'Calcs - Power'!$E29+'Calcs - Power'!$F29))</f>
        <v>91933.117010875518</v>
      </c>
      <c r="S30" s="359">
        <f>(('Methane Leakage'!$C$6/'Methane Leakage'!$C$5)*102*'Emissions Factors'!$D$38*'Calcs - Power'!$G29+'Emissions Factors'!$D$37*('Calcs - Power'!$H29+'Calcs - Power'!$I29+'Calcs - Power'!$J29+'Calcs - Power'!$K29))</f>
        <v>9040.3839920953033</v>
      </c>
      <c r="T30" s="366">
        <f>(('Methane Leakage'!$C$6/'Methane Leakage'!$C$5)*102*'Emissions Factors'!$D$38*'Calcs - Power'!$B29+'Emissions Factors'!$D$37*('Calcs - Power'!$C29+'Calcs - Power'!$D29+'Calcs - Power'!$E29+'Calcs - Power'!$F29))</f>
        <v>91933.117010875518</v>
      </c>
      <c r="U30" s="361">
        <f>(102*'Emissions Factors'!$C$36*'Calcs - Power'!$G29+'Emissions Factors'!$C$35*('Calcs - Power'!$H29+'Calcs - Power'!$I29+'Calcs - Power'!$J29+'Calcs - Power'!$K29))</f>
        <v>12890.443937944392</v>
      </c>
      <c r="V30" s="366">
        <f>(102*'Emissions Factors'!$C$36*'Calcs - Power'!$B29+'Emissions Factors'!$C$35*('Calcs - Power'!$C29+'Calcs - Power'!$D29+'Calcs - Power'!$E29+'Calcs - Power'!$F29))</f>
        <v>125434.60406498308</v>
      </c>
      <c r="W30" s="359">
        <f>(102*'Emissions Factors'!$D$36*'Calcs - Power'!$G29+'Emissions Factors'!$D$35*('Calcs - Power'!$H29+'Calcs - Power'!$I29+'Calcs - Power'!$J29+'Calcs - Power'!$K29))</f>
        <v>12890.443937944392</v>
      </c>
      <c r="X30" s="366">
        <f>(102*'Emissions Factors'!$D$36*'Calcs - Power'!$B29+'Emissions Factors'!$D$35*('Calcs - Power'!$C29+'Calcs - Power'!$D29+'Calcs - Power'!$E29+'Calcs - Power'!$F29))</f>
        <v>125434.60406498308</v>
      </c>
      <c r="Y30" s="359">
        <f>(102*'Emissions Factors'!$C$38*'Calcs - Power'!$G29+'Emissions Factors'!$C$37*('Calcs - Power'!$H29+'Calcs - Power'!$I29+'Calcs - Power'!$J29+'Calcs - Power'!$K29))</f>
        <v>9040.3839920953033</v>
      </c>
      <c r="Z30" s="366">
        <f>(102*'Emissions Factors'!$C$38*'Calcs - Power'!$B29+'Emissions Factors'!$C$37*('Calcs - Power'!$C29+'Calcs - Power'!$D29+'Calcs - Power'!$E29+'Calcs - Power'!$F29))</f>
        <v>91933.117010875518</v>
      </c>
      <c r="AA30" s="359">
        <f>(102*'Emissions Factors'!$C$36*'Calcs - Power'!$G29+'Emissions Factors'!$C$35*('Calcs - Power'!$H29+'Calcs - Power'!$I29+'Calcs - Power'!$J29+'Calcs - Power'!$K29))</f>
        <v>12890.443937944392</v>
      </c>
      <c r="AB30" s="366">
        <f>(102*'Emissions Factors'!$C$36*'Calcs - Power'!$B29+'Emissions Factors'!$C$35*('Calcs - Power'!$C29+'Calcs - Power'!$D29+'Calcs - Power'!$E29+'Calcs - Power'!$F29))</f>
        <v>125434.60406498308</v>
      </c>
      <c r="AI30" s="358">
        <f t="shared" si="12"/>
        <v>18</v>
      </c>
      <c r="AJ30" s="359">
        <f>(('Methane Leakage'!$G$6/'Methane Leakage'!$G$5)*102*'Emissions Factors'!$D$10*'Calcs - Power'!$G29+'Emissions Factors'!$D$11*('Calcs - Power'!$H29+'Calcs - Power'!$I29+'Calcs - Power'!$J29+'Calcs - Power'!$K29))</f>
        <v>1340.9627707010627</v>
      </c>
      <c r="AK30" s="366">
        <f>(('Methane Leakage'!$G$6/'Methane Leakage'!$G$5)*102*'Emissions Factors'!$D$10*'Calcs - Power'!$B29+'Emissions Factors'!$D$11*('Calcs - Power'!$C29+'Calcs - Power'!$D29+'Calcs - Power'!$E29+'Calcs - Power'!$F29))</f>
        <v>13791.895658446458</v>
      </c>
      <c r="AL30" s="359">
        <f>(102*'Emissions Factors'!$E$10*'Calcs - Power'!$G29+'Emissions Factors'!$E$11*('Calcs - Power'!H29+'Calcs - Power'!I29+'Calcs - Power'!J29+'Calcs - Power'!K29))</f>
        <v>1173.140096378399</v>
      </c>
      <c r="AM30" s="366">
        <f>(102*'Emissions Factors'!$E$10*'Calcs - Power'!$B29+'Emissions Factors'!$E$11*('Calcs - Power'!C29+'Calcs - Power'!D29+'Calcs - Power'!E29+'Calcs - Power'!F29))</f>
        <v>11465.963488419326</v>
      </c>
      <c r="AN30" s="359">
        <f>(102*'Emissions Factors'!$D$10*'Calcs - Power'!$G29+'Emissions Factors'!$D$11*('Calcs - Power'!$H29+'Calcs - Power'!$I29+'Calcs - Power'!$J29+'Calcs - Power'!$K29))</f>
        <v>1340.9627707010627</v>
      </c>
      <c r="AO30" s="366">
        <f>(102*'Emissions Factors'!$D$10*'Calcs - Power'!$B29+'Emissions Factors'!$D$11*('Calcs - Power'!$C29+'Calcs - Power'!$D29+'Calcs - Power'!$E29+'Calcs - Power'!$F29))</f>
        <v>13791.895658446458</v>
      </c>
      <c r="AP30" s="367">
        <f>(102*'Emissions Factors'!$E$10*'Calcs - Power'!$G29+'Emissions Factors'!$E$11*('Calcs - Power'!H29+'Calcs - Power'!I29+'Calcs - Power'!J29+'Calcs - Power'!K29))</f>
        <v>1173.140096378399</v>
      </c>
      <c r="AQ30" s="366">
        <f>(102*'Emissions Factors'!$E$10*'Calcs - Power'!$B29+'Emissions Factors'!$E$11*('Calcs - Power'!C29+'Calcs - Power'!D29+'Calcs - Power'!E29+'Calcs - Power'!F29))</f>
        <v>11465.963488419326</v>
      </c>
      <c r="AS30" s="357"/>
      <c r="AT30" s="357"/>
      <c r="AU30" s="357"/>
      <c r="AV30" s="357"/>
      <c r="AX30" s="358">
        <f t="shared" si="13"/>
        <v>18</v>
      </c>
      <c r="AY30" s="359">
        <f>(('Methane Leakage'!$G$6/'Methane Leakage'!$G$5)*102*'Emissions Factors'!$F$10*'Calcs - Power'!$G29+'Emissions Factors'!$F$11*('Calcs - Power'!$H29+'Calcs - Power'!$I29+'Calcs - Power'!$J29+'Calcs - Power'!$K29))</f>
        <v>1695303.4614811998</v>
      </c>
      <c r="AZ30" s="366">
        <f>(('Methane Leakage'!$G$6/'Methane Leakage'!$G$5)*102*'Emissions Factors'!$F$10*'Calcs - Power'!$B29+'Emissions Factors'!$F$11*('Calcs - Power'!$C29+'Calcs - Power'!$D29+'Calcs - Power'!$E29+'Calcs - Power'!$F29))</f>
        <v>17226274.031209484</v>
      </c>
      <c r="BA30" s="359">
        <f>(102*'Emissions Factors'!$G$10*'Calcs - Power'!$G29+'Emissions Factors'!$G$11*('Calcs - Power'!H29+'Calcs - Power'!I29+'Calcs - Power'!J29+'Calcs - Power'!K29))</f>
        <v>1339550.8769248489</v>
      </c>
      <c r="BB30" s="366">
        <f>(102*'Emissions Factors'!$G$10*'Calcs - Power'!$B29+'Emissions Factors'!$G$11*('Calcs - Power'!C29+'Calcs - Power'!D29+'Calcs - Power'!E29+'Calcs - Power'!F29))</f>
        <v>13062540.109106123</v>
      </c>
      <c r="BC30" s="359">
        <f>(102*'Emissions Factors'!$F$10*'Calcs - Power'!$G29+'Emissions Factors'!$F$11*('Calcs - Power'!$H29+'Calcs - Power'!$I29+'Calcs - Power'!$J29+'Calcs - Power'!$K29))</f>
        <v>1695303.4614811998</v>
      </c>
      <c r="BD30" s="366">
        <f>(102*'Emissions Factors'!$F$10*'Calcs - Power'!$B29+'Emissions Factors'!$F$11*('Calcs - Power'!$C29+'Calcs - Power'!$D29+'Calcs - Power'!$E29+'Calcs - Power'!$F29))</f>
        <v>17226274.031209484</v>
      </c>
      <c r="BE30" s="359">
        <f>(102*'Emissions Factors'!$G$10*'Calcs - Power'!$G29+'Emissions Factors'!$G$11*('Calcs - Power'!H29+'Calcs - Power'!I29+'Calcs - Power'!J29+'Calcs - Power'!K29))</f>
        <v>1339550.8769248489</v>
      </c>
      <c r="BF30" s="366">
        <f>(102*'Emissions Factors'!$G$10*'Calcs - Power'!$B29+'Emissions Factors'!$G$11*('Calcs - Power'!C29+'Calcs - Power'!D29+'Calcs - Power'!E29+'Calcs - Power'!F29))</f>
        <v>13062540.109106123</v>
      </c>
    </row>
    <row r="31" spans="1:58" x14ac:dyDescent="0.3">
      <c r="A31" s="351">
        <f t="shared" si="10"/>
        <v>19</v>
      </c>
      <c r="B31" s="352">
        <f t="shared" si="0"/>
        <v>1</v>
      </c>
      <c r="C31" s="363">
        <f t="shared" si="1"/>
        <v>0.99999999999999989</v>
      </c>
      <c r="D31" s="352">
        <f t="shared" si="2"/>
        <v>1</v>
      </c>
      <c r="E31" s="364">
        <f t="shared" si="3"/>
        <v>1</v>
      </c>
      <c r="F31" s="364">
        <f t="shared" si="4"/>
        <v>1</v>
      </c>
      <c r="G31" s="365">
        <f t="shared" si="5"/>
        <v>1</v>
      </c>
      <c r="P31" s="358">
        <f t="shared" si="11"/>
        <v>19</v>
      </c>
      <c r="Q31" s="359">
        <f>(('Methane Leakage'!$C$6/'Methane Leakage'!$C$5)*102*'Emissions Factors'!$C$38*'Calcs - Power'!$G30+'Emissions Factors'!$C$37*('Calcs - Power'!$H30+'Calcs - Power'!$I30+'Calcs - Power'!$J30+'Calcs - Power'!$K30))</f>
        <v>9385.2904084944985</v>
      </c>
      <c r="R31" s="366">
        <f>(('Methane Leakage'!$C$6/'Methane Leakage'!$C$5)*102*'Emissions Factors'!$C$38*'Calcs - Power'!$B30+'Emissions Factors'!$C$37*('Calcs - Power'!$C30+'Calcs - Power'!$D30+'Calcs - Power'!$E30+'Calcs - Power'!$F30))</f>
        <v>101146.77104460183</v>
      </c>
      <c r="S31" s="359">
        <f>(('Methane Leakage'!$C$6/'Methane Leakage'!$C$5)*102*'Emissions Factors'!$D$38*'Calcs - Power'!$G30+'Emissions Factors'!$D$37*('Calcs - Power'!$H30+'Calcs - Power'!$I30+'Calcs - Power'!$J30+'Calcs - Power'!$K30))</f>
        <v>9385.2904084944985</v>
      </c>
      <c r="T31" s="366">
        <f>(('Methane Leakage'!$C$6/'Methane Leakage'!$C$5)*102*'Emissions Factors'!$D$38*'Calcs - Power'!$B30+'Emissions Factors'!$D$37*('Calcs - Power'!$C30+'Calcs - Power'!$D30+'Calcs - Power'!$E30+'Calcs - Power'!$F30))</f>
        <v>101146.77104460183</v>
      </c>
      <c r="U31" s="361">
        <f>(102*'Emissions Factors'!$C$36*'Calcs - Power'!$G30+'Emissions Factors'!$C$35*('Calcs - Power'!$H30+'Calcs - Power'!$I30+'Calcs - Power'!$J30+'Calcs - Power'!$K30))</f>
        <v>13467.986390316828</v>
      </c>
      <c r="V31" s="366">
        <f>(102*'Emissions Factors'!$C$36*'Calcs - Power'!$B30+'Emissions Factors'!$C$35*('Calcs - Power'!$C30+'Calcs - Power'!$D30+'Calcs - Power'!$E30+'Calcs - Power'!$F30))</f>
        <v>138614.59375548683</v>
      </c>
      <c r="W31" s="359">
        <f>(102*'Emissions Factors'!$D$36*'Calcs - Power'!$G30+'Emissions Factors'!$D$35*('Calcs - Power'!$H30+'Calcs - Power'!$I30+'Calcs - Power'!$J30+'Calcs - Power'!$K30))</f>
        <v>13467.986390316828</v>
      </c>
      <c r="X31" s="366">
        <f>(102*'Emissions Factors'!$D$36*'Calcs - Power'!$B30+'Emissions Factors'!$D$35*('Calcs - Power'!$C30+'Calcs - Power'!$D30+'Calcs - Power'!$E30+'Calcs - Power'!$F30))</f>
        <v>138614.59375548683</v>
      </c>
      <c r="Y31" s="359">
        <f>(102*'Emissions Factors'!$C$38*'Calcs - Power'!$G30+'Emissions Factors'!$C$37*('Calcs - Power'!$H30+'Calcs - Power'!$I30+'Calcs - Power'!$J30+'Calcs - Power'!$K30))</f>
        <v>9385.2904084944985</v>
      </c>
      <c r="Z31" s="366">
        <f>(102*'Emissions Factors'!$C$38*'Calcs - Power'!$B30+'Emissions Factors'!$C$37*('Calcs - Power'!$C30+'Calcs - Power'!$D30+'Calcs - Power'!$E30+'Calcs - Power'!$F30))</f>
        <v>101146.77104460183</v>
      </c>
      <c r="AA31" s="359">
        <f>(102*'Emissions Factors'!$C$36*'Calcs - Power'!$G30+'Emissions Factors'!$C$35*('Calcs - Power'!$H30+'Calcs - Power'!$I30+'Calcs - Power'!$J30+'Calcs - Power'!$K30))</f>
        <v>13467.986390316828</v>
      </c>
      <c r="AB31" s="366">
        <f>(102*'Emissions Factors'!$C$36*'Calcs - Power'!$B30+'Emissions Factors'!$C$35*('Calcs - Power'!$C30+'Calcs - Power'!$D30+'Calcs - Power'!$E30+'Calcs - Power'!$F30))</f>
        <v>138614.59375548683</v>
      </c>
      <c r="AI31" s="358">
        <f t="shared" si="12"/>
        <v>19</v>
      </c>
      <c r="AJ31" s="359">
        <f>(('Methane Leakage'!$G$6/'Methane Leakage'!$G$5)*102*'Emissions Factors'!$D$10*'Calcs - Power'!$G30+'Emissions Factors'!$D$11*('Calcs - Power'!$H30+'Calcs - Power'!$I30+'Calcs - Power'!$J30+'Calcs - Power'!$K30))</f>
        <v>1389.764057899434</v>
      </c>
      <c r="AK31" s="366">
        <f>(('Methane Leakage'!$G$6/'Methane Leakage'!$G$5)*102*'Emissions Factors'!$D$10*'Calcs - Power'!$B30+'Emissions Factors'!$D$11*('Calcs - Power'!$C30+'Calcs - Power'!$D30+'Calcs - Power'!$E30+'Calcs - Power'!$F30))</f>
        <v>15157.390966736119</v>
      </c>
      <c r="AL31" s="359">
        <f>(102*'Emissions Factors'!$E$10*'Calcs - Power'!$G30+'Emissions Factors'!$E$11*('Calcs - Power'!H30+'Calcs - Power'!I30+'Calcs - Power'!J30+'Calcs - Power'!K30))</f>
        <v>1224.9373144853935</v>
      </c>
      <c r="AM31" s="366">
        <f>(102*'Emissions Factors'!$E$10*'Calcs - Power'!$B30+'Emissions Factors'!$E$11*('Calcs - Power'!C30+'Calcs - Power'!D30+'Calcs - Power'!E30+'Calcs - Power'!F30))</f>
        <v>12665.076158943437</v>
      </c>
      <c r="AN31" s="359">
        <f>(102*'Emissions Factors'!$D$10*'Calcs - Power'!$G30+'Emissions Factors'!$D$11*('Calcs - Power'!$H30+'Calcs - Power'!$I30+'Calcs - Power'!$J30+'Calcs - Power'!$K30))</f>
        <v>1389.764057899434</v>
      </c>
      <c r="AO31" s="366">
        <f>(102*'Emissions Factors'!$D$10*'Calcs - Power'!$B30+'Emissions Factors'!$D$11*('Calcs - Power'!$C30+'Calcs - Power'!$D30+'Calcs - Power'!$E30+'Calcs - Power'!$F30))</f>
        <v>15157.390966736119</v>
      </c>
      <c r="AP31" s="367">
        <f>(102*'Emissions Factors'!$E$10*'Calcs - Power'!$G30+'Emissions Factors'!$E$11*('Calcs - Power'!H30+'Calcs - Power'!I30+'Calcs - Power'!J30+'Calcs - Power'!K30))</f>
        <v>1224.9373144853935</v>
      </c>
      <c r="AQ31" s="366">
        <f>(102*'Emissions Factors'!$E$10*'Calcs - Power'!$B30+'Emissions Factors'!$E$11*('Calcs - Power'!C30+'Calcs - Power'!D30+'Calcs - Power'!E30+'Calcs - Power'!F30))</f>
        <v>12665.076158943437</v>
      </c>
      <c r="AS31" s="357"/>
      <c r="AT31" s="357"/>
      <c r="AU31" s="357"/>
      <c r="AV31" s="357"/>
      <c r="AX31" s="358">
        <f t="shared" si="13"/>
        <v>19</v>
      </c>
      <c r="AY31" s="359">
        <f>(('Methane Leakage'!$G$6/'Methane Leakage'!$G$5)*102*'Emissions Factors'!$F$10*'Calcs - Power'!$G30+'Emissions Factors'!$F$11*('Calcs - Power'!$H30+'Calcs - Power'!$I30+'Calcs - Power'!$J30+'Calcs - Power'!$K30))</f>
        <v>1760187.7141400175</v>
      </c>
      <c r="AZ31" s="366">
        <f>(('Methane Leakage'!$G$6/'Methane Leakage'!$G$5)*102*'Emissions Factors'!$F$10*'Calcs - Power'!$B30+'Emissions Factors'!$F$11*('Calcs - Power'!$C30+'Calcs - Power'!$D30+'Calcs - Power'!$E30+'Calcs - Power'!$F30))</f>
        <v>18954171.861284226</v>
      </c>
      <c r="BA31" s="359">
        <f>(102*'Emissions Factors'!$G$10*'Calcs - Power'!$G30+'Emissions Factors'!$G$11*('Calcs - Power'!H30+'Calcs - Power'!I30+'Calcs - Power'!J30+'Calcs - Power'!K30))</f>
        <v>1399149.00299121</v>
      </c>
      <c r="BB31" s="366">
        <f>(102*'Emissions Factors'!$G$10*'Calcs - Power'!$B30+'Emissions Factors'!$G$11*('Calcs - Power'!C30+'Calcs - Power'!D30+'Calcs - Power'!E30+'Calcs - Power'!F30))</f>
        <v>14431972.442954853</v>
      </c>
      <c r="BC31" s="359">
        <f>(102*'Emissions Factors'!$F$10*'Calcs - Power'!$G30+'Emissions Factors'!$F$11*('Calcs - Power'!$H30+'Calcs - Power'!$I30+'Calcs - Power'!$J30+'Calcs - Power'!$K30))</f>
        <v>1760187.7141400175</v>
      </c>
      <c r="BD31" s="366">
        <f>(102*'Emissions Factors'!$F$10*'Calcs - Power'!$B30+'Emissions Factors'!$F$11*('Calcs - Power'!$C30+'Calcs - Power'!$D30+'Calcs - Power'!$E30+'Calcs - Power'!$F30))</f>
        <v>18954171.861284226</v>
      </c>
      <c r="BE31" s="359">
        <f>(102*'Emissions Factors'!$G$10*'Calcs - Power'!$G30+'Emissions Factors'!$G$11*('Calcs - Power'!H30+'Calcs - Power'!I30+'Calcs - Power'!J30+'Calcs - Power'!K30))</f>
        <v>1399149.00299121</v>
      </c>
      <c r="BF31" s="366">
        <f>(102*'Emissions Factors'!$G$10*'Calcs - Power'!$B30+'Emissions Factors'!$G$11*('Calcs - Power'!C30+'Calcs - Power'!D30+'Calcs - Power'!E30+'Calcs - Power'!F30))</f>
        <v>14431972.442954853</v>
      </c>
    </row>
    <row r="32" spans="1:58" x14ac:dyDescent="0.3">
      <c r="A32" s="351">
        <f t="shared" si="10"/>
        <v>20</v>
      </c>
      <c r="B32" s="352">
        <f t="shared" si="0"/>
        <v>1</v>
      </c>
      <c r="C32" s="363">
        <f t="shared" si="1"/>
        <v>1</v>
      </c>
      <c r="D32" s="352">
        <f t="shared" si="2"/>
        <v>1</v>
      </c>
      <c r="E32" s="364">
        <f t="shared" si="3"/>
        <v>1</v>
      </c>
      <c r="F32" s="364">
        <f t="shared" si="4"/>
        <v>1</v>
      </c>
      <c r="G32" s="365">
        <f t="shared" si="5"/>
        <v>1</v>
      </c>
      <c r="P32" s="358">
        <f t="shared" si="11"/>
        <v>20</v>
      </c>
      <c r="Q32" s="359">
        <f>(('Methane Leakage'!$C$6/'Methane Leakage'!$C$5)*102*'Emissions Factors'!$C$38*'Calcs - Power'!$G31+'Emissions Factors'!$C$37*('Calcs - Power'!$H31+'Calcs - Power'!$I31+'Calcs - Power'!$J31+'Calcs - Power'!$K31))</f>
        <v>9720.722383287477</v>
      </c>
      <c r="R32" s="366">
        <f>(('Methane Leakage'!$C$6/'Methane Leakage'!$C$5)*102*'Emissions Factors'!$C$38*'Calcs - Power'!$B31+'Emissions Factors'!$C$37*('Calcs - Power'!$C31+'Calcs - Power'!$D31+'Calcs - Power'!$E31+'Calcs - Power'!$F31))</f>
        <v>110700.54022322509</v>
      </c>
      <c r="S32" s="359">
        <f>(('Methane Leakage'!$C$6/'Methane Leakage'!$C$5)*102*'Emissions Factors'!$D$38*'Calcs - Power'!$G31+'Emissions Factors'!$D$37*('Calcs - Power'!$H31+'Calcs - Power'!$I31+'Calcs - Power'!$J31+'Calcs - Power'!$K31))</f>
        <v>9720.722383287477</v>
      </c>
      <c r="T32" s="366">
        <f>(('Methane Leakage'!$C$6/'Methane Leakage'!$C$5)*102*'Emissions Factors'!$D$38*'Calcs - Power'!$B31+'Emissions Factors'!$D$37*('Calcs - Power'!$C31+'Calcs - Power'!$D31+'Calcs - Power'!$E31+'Calcs - Power'!$F31))</f>
        <v>110700.54022322509</v>
      </c>
      <c r="U32" s="361">
        <f>(102*'Emissions Factors'!$C$36*'Calcs - Power'!$G31+'Emissions Factors'!$C$35*('Calcs - Power'!$H31+'Calcs - Power'!$I31+'Calcs - Power'!$J31+'Calcs - Power'!$K31))</f>
        <v>14036.469445902054</v>
      </c>
      <c r="V32" s="366">
        <f>(102*'Emissions Factors'!$C$36*'Calcs - Power'!$B31+'Emissions Factors'!$C$35*('Calcs - Power'!$C31+'Calcs - Power'!$D31+'Calcs - Power'!$E31+'Calcs - Power'!$F31))</f>
        <v>152367.55735942899</v>
      </c>
      <c r="W32" s="359">
        <f>(102*'Emissions Factors'!$D$36*'Calcs - Power'!$G31+'Emissions Factors'!$D$35*('Calcs - Power'!$H31+'Calcs - Power'!$I31+'Calcs - Power'!$J31+'Calcs - Power'!$K31))</f>
        <v>14036.469445902054</v>
      </c>
      <c r="X32" s="366">
        <f>(102*'Emissions Factors'!$D$36*'Calcs - Power'!$B31+'Emissions Factors'!$D$35*('Calcs - Power'!$C31+'Calcs - Power'!$D31+'Calcs - Power'!$E31+'Calcs - Power'!$F31))</f>
        <v>152367.55735942899</v>
      </c>
      <c r="Y32" s="359">
        <f>(102*'Emissions Factors'!$C$38*'Calcs - Power'!$G31+'Emissions Factors'!$C$37*('Calcs - Power'!$H31+'Calcs - Power'!$I31+'Calcs - Power'!$J31+'Calcs - Power'!$K31))</f>
        <v>9720.722383287477</v>
      </c>
      <c r="Z32" s="366">
        <f>(102*'Emissions Factors'!$C$38*'Calcs - Power'!$B31+'Emissions Factors'!$C$37*('Calcs - Power'!$C31+'Calcs - Power'!$D31+'Calcs - Power'!$E31+'Calcs - Power'!$F31))</f>
        <v>110700.54022322509</v>
      </c>
      <c r="AA32" s="359">
        <f>(102*'Emissions Factors'!$C$36*'Calcs - Power'!$G31+'Emissions Factors'!$C$35*('Calcs - Power'!$H31+'Calcs - Power'!$I31+'Calcs - Power'!$J31+'Calcs - Power'!$K31))</f>
        <v>14036.469445902054</v>
      </c>
      <c r="AB32" s="366">
        <f>(102*'Emissions Factors'!$C$36*'Calcs - Power'!$B31+'Emissions Factors'!$C$35*('Calcs - Power'!$C31+'Calcs - Power'!$D31+'Calcs - Power'!$E31+'Calcs - Power'!$F31))</f>
        <v>152367.55735942899</v>
      </c>
      <c r="AI32" s="358">
        <f t="shared" si="12"/>
        <v>20</v>
      </c>
      <c r="AJ32" s="359">
        <f>(('Methane Leakage'!$G$6/'Methane Leakage'!$G$5)*102*'Emissions Factors'!$D$10*'Calcs - Power'!$G31+'Emissions Factors'!$D$11*('Calcs - Power'!$H31+'Calcs - Power'!$I31+'Calcs - Power'!$J31+'Calcs - Power'!$K31))</f>
        <v>1437.0375898594884</v>
      </c>
      <c r="AK32" s="366">
        <f>(('Methane Leakage'!$G$6/'Methane Leakage'!$G$5)*102*'Emissions Factors'!$D$10*'Calcs - Power'!$B31+'Emissions Factors'!$D$11*('Calcs - Power'!$C31+'Calcs - Power'!$D31+'Calcs - Power'!$E31+'Calcs - Power'!$F31))</f>
        <v>16570.914615655613</v>
      </c>
      <c r="AL32" s="359">
        <f>(102*'Emissions Factors'!$E$10*'Calcs - Power'!$G31+'Emissions Factors'!$E$11*('Calcs - Power'!H31+'Calcs - Power'!I31+'Calcs - Power'!J31+'Calcs - Power'!K31))</f>
        <v>1275.8703996192808</v>
      </c>
      <c r="AM32" s="366">
        <f>(102*'Emissions Factors'!$E$10*'Calcs - Power'!$B31+'Emissions Factors'!$E$11*('Calcs - Power'!C31+'Calcs - Power'!D31+'Calcs - Power'!E31+'Calcs - Power'!F31))</f>
        <v>13915.550105634515</v>
      </c>
      <c r="AN32" s="359">
        <f>(102*'Emissions Factors'!$D$10*'Calcs - Power'!$G31+'Emissions Factors'!$D$11*('Calcs - Power'!$H31+'Calcs - Power'!$I31+'Calcs - Power'!$J31+'Calcs - Power'!$K31))</f>
        <v>1437.0375898594884</v>
      </c>
      <c r="AO32" s="366">
        <f>(102*'Emissions Factors'!$D$10*'Calcs - Power'!$B31+'Emissions Factors'!$D$11*('Calcs - Power'!$C31+'Calcs - Power'!$D31+'Calcs - Power'!$E31+'Calcs - Power'!$F31))</f>
        <v>16570.914615655613</v>
      </c>
      <c r="AP32" s="367">
        <f>(102*'Emissions Factors'!$E$10*'Calcs - Power'!$G31+'Emissions Factors'!$E$11*('Calcs - Power'!H31+'Calcs - Power'!I31+'Calcs - Power'!J31+'Calcs - Power'!K31))</f>
        <v>1275.8703996192808</v>
      </c>
      <c r="AQ32" s="366">
        <f>(102*'Emissions Factors'!$E$10*'Calcs - Power'!$B31+'Emissions Factors'!$E$11*('Calcs - Power'!C31+'Calcs - Power'!D31+'Calcs - Power'!E31+'Calcs - Power'!F31))</f>
        <v>13915.550105634515</v>
      </c>
      <c r="AS32" s="357"/>
      <c r="AT32" s="357"/>
      <c r="AU32" s="357"/>
      <c r="AV32" s="357"/>
      <c r="AX32" s="358">
        <f t="shared" si="13"/>
        <v>20</v>
      </c>
      <c r="AY32" s="359">
        <f>(('Methane Leakage'!$G$6/'Methane Leakage'!$G$5)*102*'Emissions Factors'!$F$10*'Calcs - Power'!$G31+'Emissions Factors'!$F$11*('Calcs - Power'!$H31+'Calcs - Power'!$I31+'Calcs - Power'!$J31+'Calcs - Power'!$K31))</f>
        <v>1823305.9291955675</v>
      </c>
      <c r="AZ32" s="366">
        <f>(('Methane Leakage'!$G$6/'Methane Leakage'!$G$5)*102*'Emissions Factors'!$F$10*'Calcs - Power'!$B31+'Emissions Factors'!$F$11*('Calcs - Power'!$C31+'Calcs - Power'!$D31+'Calcs - Power'!$E31+'Calcs - Power'!$F31))</f>
        <v>20746060.880928468</v>
      </c>
      <c r="BA32" s="359">
        <f>(102*'Emissions Factors'!$G$10*'Calcs - Power'!$G31+'Emissions Factors'!$G$11*('Calcs - Power'!H31+'Calcs - Power'!I31+'Calcs - Power'!J31+'Calcs - Power'!K31))</f>
        <v>1457783.9491113923</v>
      </c>
      <c r="BB32" s="366">
        <f>(102*'Emissions Factors'!$G$10*'Calcs - Power'!$B31+'Emissions Factors'!$G$11*('Calcs - Power'!C31+'Calcs - Power'!D31+'Calcs - Power'!E31+'Calcs - Power'!F31))</f>
        <v>15860517.08985805</v>
      </c>
      <c r="BC32" s="359">
        <f>(102*'Emissions Factors'!$F$10*'Calcs - Power'!$G31+'Emissions Factors'!$F$11*('Calcs - Power'!$H31+'Calcs - Power'!$I31+'Calcs - Power'!$J31+'Calcs - Power'!$K31))</f>
        <v>1823305.9291955675</v>
      </c>
      <c r="BD32" s="366">
        <f>(102*'Emissions Factors'!$F$10*'Calcs - Power'!$B31+'Emissions Factors'!$F$11*('Calcs - Power'!$C31+'Calcs - Power'!$D31+'Calcs - Power'!$E31+'Calcs - Power'!$F31))</f>
        <v>20746060.880928468</v>
      </c>
      <c r="BE32" s="359">
        <f>(102*'Emissions Factors'!$G$10*'Calcs - Power'!$G31+'Emissions Factors'!$G$11*('Calcs - Power'!H31+'Calcs - Power'!I31+'Calcs - Power'!J31+'Calcs - Power'!K31))</f>
        <v>1457783.9491113923</v>
      </c>
      <c r="BF32" s="366">
        <f>(102*'Emissions Factors'!$G$10*'Calcs - Power'!$B31+'Emissions Factors'!$G$11*('Calcs - Power'!C31+'Calcs - Power'!D31+'Calcs - Power'!E31+'Calcs - Power'!F31))</f>
        <v>15860517.08985805</v>
      </c>
    </row>
    <row r="33" spans="1:58" x14ac:dyDescent="0.3">
      <c r="A33" s="351">
        <f t="shared" si="10"/>
        <v>21</v>
      </c>
      <c r="B33" s="352">
        <f t="shared" si="0"/>
        <v>1</v>
      </c>
      <c r="C33" s="363">
        <f t="shared" si="1"/>
        <v>0.99999999999999978</v>
      </c>
      <c r="D33" s="352">
        <f t="shared" si="2"/>
        <v>1</v>
      </c>
      <c r="E33" s="364">
        <f t="shared" si="3"/>
        <v>1</v>
      </c>
      <c r="F33" s="364">
        <f t="shared" si="4"/>
        <v>1</v>
      </c>
      <c r="G33" s="365">
        <f t="shared" si="5"/>
        <v>1</v>
      </c>
      <c r="P33" s="358">
        <f t="shared" si="11"/>
        <v>21</v>
      </c>
      <c r="Q33" s="359">
        <f>(('Methane Leakage'!$C$6/'Methane Leakage'!$C$5)*102*'Emissions Factors'!$C$38*'Calcs - Power'!$G32+'Emissions Factors'!$C$37*('Calcs - Power'!$H32+'Calcs - Power'!$I32+'Calcs - Power'!$J32+'Calcs - Power'!$K32))</f>
        <v>10047.304789375588</v>
      </c>
      <c r="R33" s="366">
        <f>(('Methane Leakage'!$C$6/'Methane Leakage'!$C$5)*102*'Emissions Factors'!$C$38*'Calcs - Power'!$B32+'Emissions Factors'!$C$37*('Calcs - Power'!$C32+'Calcs - Power'!$D32+'Calcs - Power'!$E32+'Calcs - Power'!$F32))</f>
        <v>120585.26645687298</v>
      </c>
      <c r="S33" s="359">
        <f>(('Methane Leakage'!$C$6/'Methane Leakage'!$C$5)*102*'Emissions Factors'!$D$38*'Calcs - Power'!$G32+'Emissions Factors'!$D$37*('Calcs - Power'!$H32+'Calcs - Power'!$I32+'Calcs - Power'!$J32+'Calcs - Power'!$K32))</f>
        <v>10047.304789375588</v>
      </c>
      <c r="T33" s="366">
        <f>(('Methane Leakage'!$C$6/'Methane Leakage'!$C$5)*102*'Emissions Factors'!$D$38*'Calcs - Power'!$B32+'Emissions Factors'!$D$37*('Calcs - Power'!$C32+'Calcs - Power'!$D32+'Calcs - Power'!$E32+'Calcs - Power'!$F32))</f>
        <v>120585.26645687298</v>
      </c>
      <c r="U33" s="361">
        <f>(102*'Emissions Factors'!$C$36*'Calcs - Power'!$G32+'Emissions Factors'!$C$35*('Calcs - Power'!$H32+'Calcs - Power'!$I32+'Calcs - Power'!$J32+'Calcs - Power'!$K32))</f>
        <v>14596.345441282723</v>
      </c>
      <c r="V33" s="366">
        <f>(102*'Emissions Factors'!$C$36*'Calcs - Power'!$B32+'Emissions Factors'!$C$35*('Calcs - Power'!$C32+'Calcs - Power'!$D32+'Calcs - Power'!$E32+'Calcs - Power'!$F32))</f>
        <v>166684.66392059607</v>
      </c>
      <c r="W33" s="359">
        <f>(102*'Emissions Factors'!$D$36*'Calcs - Power'!$G32+'Emissions Factors'!$D$35*('Calcs - Power'!$H32+'Calcs - Power'!$I32+'Calcs - Power'!$J32+'Calcs - Power'!$K32))</f>
        <v>14596.345441282723</v>
      </c>
      <c r="X33" s="366">
        <f>(102*'Emissions Factors'!$D$36*'Calcs - Power'!$B32+'Emissions Factors'!$D$35*('Calcs - Power'!$C32+'Calcs - Power'!$D32+'Calcs - Power'!$E32+'Calcs - Power'!$F32))</f>
        <v>166684.66392059607</v>
      </c>
      <c r="Y33" s="359">
        <f>(102*'Emissions Factors'!$C$38*'Calcs - Power'!$G32+'Emissions Factors'!$C$37*('Calcs - Power'!$H32+'Calcs - Power'!$I32+'Calcs - Power'!$J32+'Calcs - Power'!$K32))</f>
        <v>10047.304789375588</v>
      </c>
      <c r="Z33" s="366">
        <f>(102*'Emissions Factors'!$C$38*'Calcs - Power'!$B32+'Emissions Factors'!$C$37*('Calcs - Power'!$C32+'Calcs - Power'!$D32+'Calcs - Power'!$E32+'Calcs - Power'!$F32))</f>
        <v>120585.26645687298</v>
      </c>
      <c r="AA33" s="359">
        <f>(102*'Emissions Factors'!$C$36*'Calcs - Power'!$G32+'Emissions Factors'!$C$35*('Calcs - Power'!$H32+'Calcs - Power'!$I32+'Calcs - Power'!$J32+'Calcs - Power'!$K32))</f>
        <v>14596.345441282723</v>
      </c>
      <c r="AB33" s="366">
        <f>(102*'Emissions Factors'!$C$36*'Calcs - Power'!$B32+'Emissions Factors'!$C$35*('Calcs - Power'!$C32+'Calcs - Power'!$D32+'Calcs - Power'!$E32+'Calcs - Power'!$F32))</f>
        <v>166684.66392059607</v>
      </c>
      <c r="AI33" s="358">
        <f t="shared" si="12"/>
        <v>21</v>
      </c>
      <c r="AJ33" s="359">
        <f>(('Methane Leakage'!$G$6/'Methane Leakage'!$G$5)*102*'Emissions Factors'!$D$10*'Calcs - Power'!$G32+'Emissions Factors'!$D$11*('Calcs - Power'!$H32+'Calcs - Power'!$I32+'Calcs - Power'!$J32+'Calcs - Power'!$K32))</f>
        <v>1482.8881205428215</v>
      </c>
      <c r="AK33" s="366">
        <f>(('Methane Leakage'!$G$6/'Methane Leakage'!$G$5)*102*'Emissions Factors'!$D$10*'Calcs - Power'!$B32+'Emissions Factors'!$D$11*('Calcs - Power'!$C32+'Calcs - Power'!$D32+'Calcs - Power'!$E32+'Calcs - Power'!$F32))</f>
        <v>18030.991898764791</v>
      </c>
      <c r="AL33" s="359">
        <f>(102*'Emissions Factors'!$E$10*'Calcs - Power'!$G32+'Emissions Factors'!$E$11*('Calcs - Power'!H32+'Calcs - Power'!I32+'Calcs - Power'!J32+'Calcs - Power'!K32))</f>
        <v>1325.9844268195391</v>
      </c>
      <c r="AM33" s="366">
        <f>(102*'Emissions Factors'!$E$10*'Calcs - Power'!$B32+'Emissions Factors'!$E$11*('Calcs - Power'!C32+'Calcs - Power'!D32+'Calcs - Power'!E32+'Calcs - Power'!F32))</f>
        <v>15216.543969333259</v>
      </c>
      <c r="AN33" s="359">
        <f>(102*'Emissions Factors'!$D$10*'Calcs - Power'!$G32+'Emissions Factors'!$D$11*('Calcs - Power'!$H32+'Calcs - Power'!$I32+'Calcs - Power'!$J32+'Calcs - Power'!$K32))</f>
        <v>1482.8881205428215</v>
      </c>
      <c r="AO33" s="366">
        <f>(102*'Emissions Factors'!$D$10*'Calcs - Power'!$B32+'Emissions Factors'!$D$11*('Calcs - Power'!$C32+'Calcs - Power'!$D32+'Calcs - Power'!$E32+'Calcs - Power'!$F32))</f>
        <v>18030.991898764791</v>
      </c>
      <c r="AP33" s="367">
        <f>(102*'Emissions Factors'!$E$10*'Calcs - Power'!$G32+'Emissions Factors'!$E$11*('Calcs - Power'!H32+'Calcs - Power'!I32+'Calcs - Power'!J32+'Calcs - Power'!K32))</f>
        <v>1325.9844268195391</v>
      </c>
      <c r="AQ33" s="366">
        <f>(102*'Emissions Factors'!$E$10*'Calcs - Power'!$B32+'Emissions Factors'!$E$11*('Calcs - Power'!C32+'Calcs - Power'!D32+'Calcs - Power'!E32+'Calcs - Power'!F32))</f>
        <v>15216.543969333259</v>
      </c>
      <c r="AS33" s="357"/>
      <c r="AT33" s="357"/>
      <c r="AU33" s="357"/>
      <c r="AV33" s="357"/>
      <c r="AX33" s="358">
        <f t="shared" si="13"/>
        <v>21</v>
      </c>
      <c r="AY33" s="359">
        <f>(('Methane Leakage'!$G$6/'Methane Leakage'!$G$5)*102*'Emissions Factors'!$F$10*'Calcs - Power'!$G32+'Emissions Factors'!$F$11*('Calcs - Power'!$H32+'Calcs - Power'!$I32+'Calcs - Power'!$J32+'Calcs - Power'!$K32))</f>
        <v>1884774.2352363016</v>
      </c>
      <c r="AZ33" s="366">
        <f>(('Methane Leakage'!$G$6/'Methane Leakage'!$G$5)*102*'Emissions Factors'!$F$10*'Calcs - Power'!$B32+'Emissions Factors'!$F$11*('Calcs - Power'!$C32+'Calcs - Power'!$D32+'Calcs - Power'!$E32+'Calcs - Power'!$F32))</f>
        <v>22600233.843116764</v>
      </c>
      <c r="BA33" s="359">
        <f>(102*'Emissions Factors'!$G$10*'Calcs - Power'!$G32+'Emissions Factors'!$G$11*('Calcs - Power'!H32+'Calcs - Power'!I32+'Calcs - Power'!J32+'Calcs - Power'!K32))</f>
        <v>1515504.8646996936</v>
      </c>
      <c r="BB33" s="366">
        <f>(102*'Emissions Factors'!$G$10*'Calcs - Power'!$B32+'Emissions Factors'!$G$11*('Calcs - Power'!C32+'Calcs - Power'!D32+'Calcs - Power'!E32+'Calcs - Power'!F32))</f>
        <v>17347235.696884103</v>
      </c>
      <c r="BC33" s="359">
        <f>(102*'Emissions Factors'!$F$10*'Calcs - Power'!$G32+'Emissions Factors'!$F$11*('Calcs - Power'!$H32+'Calcs - Power'!$I32+'Calcs - Power'!$J32+'Calcs - Power'!$K32))</f>
        <v>1884774.2352363016</v>
      </c>
      <c r="BD33" s="366">
        <f>(102*'Emissions Factors'!$F$10*'Calcs - Power'!$B32+'Emissions Factors'!$F$11*('Calcs - Power'!$C32+'Calcs - Power'!$D32+'Calcs - Power'!$E32+'Calcs - Power'!$F32))</f>
        <v>22600233.843116764</v>
      </c>
      <c r="BE33" s="359">
        <f>(102*'Emissions Factors'!$G$10*'Calcs - Power'!$G32+'Emissions Factors'!$G$11*('Calcs - Power'!H32+'Calcs - Power'!I32+'Calcs - Power'!J32+'Calcs - Power'!K32))</f>
        <v>1515504.8646996936</v>
      </c>
      <c r="BF33" s="366">
        <f>(102*'Emissions Factors'!$G$10*'Calcs - Power'!$B32+'Emissions Factors'!$G$11*('Calcs - Power'!C32+'Calcs - Power'!D32+'Calcs - Power'!E32+'Calcs - Power'!F32))</f>
        <v>17347235.696884103</v>
      </c>
    </row>
    <row r="34" spans="1:58" x14ac:dyDescent="0.3">
      <c r="A34" s="351">
        <f t="shared" si="10"/>
        <v>22</v>
      </c>
      <c r="B34" s="352">
        <f t="shared" si="0"/>
        <v>1</v>
      </c>
      <c r="C34" s="363">
        <f t="shared" si="1"/>
        <v>0.99999999999999978</v>
      </c>
      <c r="D34" s="352">
        <f t="shared" si="2"/>
        <v>1</v>
      </c>
      <c r="E34" s="364">
        <f t="shared" si="3"/>
        <v>1</v>
      </c>
      <c r="F34" s="364">
        <f t="shared" si="4"/>
        <v>1</v>
      </c>
      <c r="G34" s="365">
        <f t="shared" si="5"/>
        <v>1</v>
      </c>
      <c r="P34" s="358">
        <f t="shared" si="11"/>
        <v>22</v>
      </c>
      <c r="Q34" s="359">
        <f>(('Methane Leakage'!$C$6/'Methane Leakage'!$C$5)*102*'Emissions Factors'!$C$38*'Calcs - Power'!$G33+'Emissions Factors'!$C$37*('Calcs - Power'!$H33+'Calcs - Power'!$I33+'Calcs - Power'!$J33+'Calcs - Power'!$K33))</f>
        <v>10365.617292399473</v>
      </c>
      <c r="R34" s="366">
        <f>(('Methane Leakage'!$C$6/'Methane Leakage'!$C$5)*102*'Emissions Factors'!$C$38*'Calcs - Power'!$B33+'Emissions Factors'!$C$37*('Calcs - Power'!$C33+'Calcs - Power'!$D33+'Calcs - Power'!$E33+'Calcs - Power'!$F33))</f>
        <v>130792.39363204352</v>
      </c>
      <c r="S34" s="359">
        <f>(('Methane Leakage'!$C$6/'Methane Leakage'!$C$5)*102*'Emissions Factors'!$D$38*'Calcs - Power'!$G33+'Emissions Factors'!$D$37*('Calcs - Power'!$H33+'Calcs - Power'!$I33+'Calcs - Power'!$J33+'Calcs - Power'!$K33))</f>
        <v>10365.617292399473</v>
      </c>
      <c r="T34" s="366">
        <f>(('Methane Leakage'!$C$6/'Methane Leakage'!$C$5)*102*'Emissions Factors'!$D$38*'Calcs - Power'!$B33+'Emissions Factors'!$D$37*('Calcs - Power'!$C33+'Calcs - Power'!$D33+'Calcs - Power'!$E33+'Calcs - Power'!$F33))</f>
        <v>130792.39363204352</v>
      </c>
      <c r="U34" s="361">
        <f>(102*'Emissions Factors'!$C$36*'Calcs - Power'!$G33+'Emissions Factors'!$C$35*('Calcs - Power'!$H33+'Calcs - Power'!$I33+'Calcs - Power'!$J33+'Calcs - Power'!$K33))</f>
        <v>15148.040295605655</v>
      </c>
      <c r="V34" s="366">
        <f>(102*'Emissions Factors'!$C$36*'Calcs - Power'!$B33+'Emissions Factors'!$C$35*('Calcs - Power'!$C33+'Calcs - Power'!$D33+'Calcs - Power'!$E33+'Calcs - Power'!$F33))</f>
        <v>181557.52147027</v>
      </c>
      <c r="W34" s="359">
        <f>(102*'Emissions Factors'!$D$36*'Calcs - Power'!$G33+'Emissions Factors'!$D$35*('Calcs - Power'!$H33+'Calcs - Power'!$I33+'Calcs - Power'!$J33+'Calcs - Power'!$K33))</f>
        <v>15148.040295605655</v>
      </c>
      <c r="X34" s="366">
        <f>(102*'Emissions Factors'!$D$36*'Calcs - Power'!$B33+'Emissions Factors'!$D$35*('Calcs - Power'!$C33+'Calcs - Power'!$D33+'Calcs - Power'!$E33+'Calcs - Power'!$F33))</f>
        <v>181557.52147027</v>
      </c>
      <c r="Y34" s="359">
        <f>(102*'Emissions Factors'!$C$38*'Calcs - Power'!$G33+'Emissions Factors'!$C$37*('Calcs - Power'!$H33+'Calcs - Power'!$I33+'Calcs - Power'!$J33+'Calcs - Power'!$K33))</f>
        <v>10365.617292399473</v>
      </c>
      <c r="Z34" s="366">
        <f>(102*'Emissions Factors'!$C$38*'Calcs - Power'!$B33+'Emissions Factors'!$C$37*('Calcs - Power'!$C33+'Calcs - Power'!$D33+'Calcs - Power'!$E33+'Calcs - Power'!$F33))</f>
        <v>130792.39363204352</v>
      </c>
      <c r="AA34" s="359">
        <f>(102*'Emissions Factors'!$C$36*'Calcs - Power'!$G33+'Emissions Factors'!$C$35*('Calcs - Power'!$H33+'Calcs - Power'!$I33+'Calcs - Power'!$J33+'Calcs - Power'!$K33))</f>
        <v>15148.040295605655</v>
      </c>
      <c r="AB34" s="366">
        <f>(102*'Emissions Factors'!$C$36*'Calcs - Power'!$B33+'Emissions Factors'!$C$35*('Calcs - Power'!$C33+'Calcs - Power'!$D33+'Calcs - Power'!$E33+'Calcs - Power'!$F33))</f>
        <v>181557.52147027</v>
      </c>
      <c r="AI34" s="358">
        <f t="shared" si="12"/>
        <v>22</v>
      </c>
      <c r="AJ34" s="359">
        <f>(('Methane Leakage'!$G$6/'Methane Leakage'!$G$5)*102*'Emissions Factors'!$D$10*'Calcs - Power'!$G33+'Emissions Factors'!$D$11*('Calcs - Power'!$H33+'Calcs - Power'!$I33+'Calcs - Power'!$J33+'Calcs - Power'!$K33))</f>
        <v>1527.4126518421845</v>
      </c>
      <c r="AK34" s="366">
        <f>(('Methane Leakage'!$G$6/'Methane Leakage'!$G$5)*102*'Emissions Factors'!$D$10*'Calcs - Power'!$B33+'Emissions Factors'!$D$11*('Calcs - Power'!$C33+'Calcs - Power'!$D33+'Calcs - Power'!$E33+'Calcs - Power'!$F33))</f>
        <v>19536.24893647755</v>
      </c>
      <c r="AL34" s="359">
        <f>(102*'Emissions Factors'!$E$10*'Calcs - Power'!$G33+'Emissions Factors'!$E$11*('Calcs - Power'!H33+'Calcs - Power'!I33+'Calcs - Power'!J33+'Calcs - Power'!K33))</f>
        <v>1375.3217279423739</v>
      </c>
      <c r="AM34" s="366">
        <f>(102*'Emissions Factors'!$E$10*'Calcs - Power'!$B33+'Emissions Factors'!$E$11*('Calcs - Power'!C33+'Calcs - Power'!D33+'Calcs - Power'!E33+'Calcs - Power'!F33))</f>
        <v>16567.260079082818</v>
      </c>
      <c r="AN34" s="359">
        <f>(102*'Emissions Factors'!$D$10*'Calcs - Power'!$G33+'Emissions Factors'!$D$11*('Calcs - Power'!$H33+'Calcs - Power'!$I33+'Calcs - Power'!$J33+'Calcs - Power'!$K33))</f>
        <v>1527.4126518421845</v>
      </c>
      <c r="AO34" s="366">
        <f>(102*'Emissions Factors'!$D$10*'Calcs - Power'!$B33+'Emissions Factors'!$D$11*('Calcs - Power'!$C33+'Calcs - Power'!$D33+'Calcs - Power'!$E33+'Calcs - Power'!$F33))</f>
        <v>19536.24893647755</v>
      </c>
      <c r="AP34" s="367">
        <f>(102*'Emissions Factors'!$E$10*'Calcs - Power'!$G33+'Emissions Factors'!$E$11*('Calcs - Power'!H33+'Calcs - Power'!I33+'Calcs - Power'!J33+'Calcs - Power'!K33))</f>
        <v>1375.3217279423739</v>
      </c>
      <c r="AQ34" s="366">
        <f>(102*'Emissions Factors'!$E$10*'Calcs - Power'!$B33+'Emissions Factors'!$E$11*('Calcs - Power'!C33+'Calcs - Power'!D33+'Calcs - Power'!E33+'Calcs - Power'!F33))</f>
        <v>16567.260079082818</v>
      </c>
      <c r="AS34" s="357"/>
      <c r="AT34" s="357"/>
      <c r="AU34" s="357"/>
      <c r="AV34" s="357"/>
      <c r="AX34" s="358">
        <f t="shared" si="13"/>
        <v>22</v>
      </c>
      <c r="AY34" s="359">
        <f>(('Methane Leakage'!$G$6/'Methane Leakage'!$G$5)*102*'Emissions Factors'!$F$10*'Calcs - Power'!$G33+'Emissions Factors'!$F$11*('Calcs - Power'!$H33+'Calcs - Power'!$I33+'Calcs - Power'!$J33+'Calcs - Power'!$K33))</f>
        <v>1944700.3744871849</v>
      </c>
      <c r="AZ34" s="366">
        <f>(('Methane Leakage'!$G$6/'Methane Leakage'!$G$5)*102*'Emissions Factors'!$F$10*'Calcs - Power'!$B33+'Emissions Factors'!$F$11*('Calcs - Power'!$C33+'Calcs - Power'!$D33+'Calcs - Power'!$E33+'Calcs - Power'!$F33))</f>
        <v>24515095.381968368</v>
      </c>
      <c r="BA34" s="359">
        <f>(102*'Emissions Factors'!$G$10*'Calcs - Power'!$G33+'Emissions Factors'!$G$11*('Calcs - Power'!H33+'Calcs - Power'!I33+'Calcs - Power'!J33+'Calcs - Power'!K33))</f>
        <v>1572357.9680288676</v>
      </c>
      <c r="BB34" s="366">
        <f>(102*'Emissions Factors'!$G$10*'Calcs - Power'!$B33+'Emissions Factors'!$G$11*('Calcs - Power'!C33+'Calcs - Power'!D33+'Calcs - Power'!E33+'Calcs - Power'!F33))</f>
        <v>18891237.579003129</v>
      </c>
      <c r="BC34" s="359">
        <f>(102*'Emissions Factors'!$F$10*'Calcs - Power'!$G33+'Emissions Factors'!$F$11*('Calcs - Power'!$H33+'Calcs - Power'!$I33+'Calcs - Power'!$J33+'Calcs - Power'!$K33))</f>
        <v>1944700.3744871849</v>
      </c>
      <c r="BD34" s="366">
        <f>(102*'Emissions Factors'!$F$10*'Calcs - Power'!$B33+'Emissions Factors'!$F$11*('Calcs - Power'!$C33+'Calcs - Power'!$D33+'Calcs - Power'!$E33+'Calcs - Power'!$F33))</f>
        <v>24515095.381968368</v>
      </c>
      <c r="BE34" s="359">
        <f>(102*'Emissions Factors'!$G$10*'Calcs - Power'!$G33+'Emissions Factors'!$G$11*('Calcs - Power'!H33+'Calcs - Power'!I33+'Calcs - Power'!J33+'Calcs - Power'!K33))</f>
        <v>1572357.9680288676</v>
      </c>
      <c r="BF34" s="366">
        <f>(102*'Emissions Factors'!$G$10*'Calcs - Power'!$B33+'Emissions Factors'!$G$11*('Calcs - Power'!C33+'Calcs - Power'!D33+'Calcs - Power'!E33+'Calcs - Power'!F33))</f>
        <v>18891237.579003129</v>
      </c>
    </row>
    <row r="35" spans="1:58" x14ac:dyDescent="0.3">
      <c r="A35" s="351">
        <f t="shared" si="10"/>
        <v>23</v>
      </c>
      <c r="B35" s="352">
        <f t="shared" si="0"/>
        <v>0.99999999999999978</v>
      </c>
      <c r="C35" s="363">
        <f t="shared" si="1"/>
        <v>0.99999999999999989</v>
      </c>
      <c r="D35" s="352">
        <f t="shared" si="2"/>
        <v>1</v>
      </c>
      <c r="E35" s="364">
        <f t="shared" si="3"/>
        <v>1</v>
      </c>
      <c r="F35" s="364">
        <f t="shared" si="4"/>
        <v>1</v>
      </c>
      <c r="G35" s="365">
        <f t="shared" si="5"/>
        <v>1</v>
      </c>
      <c r="P35" s="358">
        <f t="shared" si="11"/>
        <v>23</v>
      </c>
      <c r="Q35" s="359">
        <f>(('Methane Leakage'!$C$6/'Methane Leakage'!$C$5)*102*'Emissions Factors'!$C$38*'Calcs - Power'!$G34+'Emissions Factors'!$C$37*('Calcs - Power'!$H34+'Calcs - Power'!$I34+'Calcs - Power'!$J34+'Calcs - Power'!$K34))</f>
        <v>10676.197729310999</v>
      </c>
      <c r="R35" s="366">
        <f>(('Methane Leakage'!$C$6/'Methane Leakage'!$C$5)*102*'Emissions Factors'!$C$38*'Calcs - Power'!$B34+'Emissions Factors'!$C$37*('Calcs - Power'!$C34+'Calcs - Power'!$D34+'Calcs - Power'!$E34+'Calcs - Power'!$F34))</f>
        <v>141313.92411608298</v>
      </c>
      <c r="S35" s="359">
        <f>(('Methane Leakage'!$C$6/'Methane Leakage'!$C$5)*102*'Emissions Factors'!$D$38*'Calcs - Power'!$G34+'Emissions Factors'!$D$37*('Calcs - Power'!$H34+'Calcs - Power'!$I34+'Calcs - Power'!$J34+'Calcs - Power'!$K34))</f>
        <v>10676.197729310999</v>
      </c>
      <c r="T35" s="366">
        <f>(('Methane Leakage'!$C$6/'Methane Leakage'!$C$5)*102*'Emissions Factors'!$D$38*'Calcs - Power'!$B34+'Emissions Factors'!$D$37*('Calcs - Power'!$C34+'Calcs - Power'!$D34+'Calcs - Power'!$E34+'Calcs - Power'!$F34))</f>
        <v>141313.92411608298</v>
      </c>
      <c r="U35" s="361">
        <f>(102*'Emissions Factors'!$C$36*'Calcs - Power'!$G34+'Emissions Factors'!$C$35*('Calcs - Power'!$H34+'Calcs - Power'!$I34+'Calcs - Power'!$J34+'Calcs - Power'!$K34))</f>
        <v>15691.955138900767</v>
      </c>
      <c r="V35" s="366">
        <f>(102*'Emissions Factors'!$C$36*'Calcs - Power'!$B34+'Emissions Factors'!$C$35*('Calcs - Power'!$C34+'Calcs - Power'!$D34+'Calcs - Power'!$E34+'Calcs - Power'!$F34))</f>
        <v>196978.1514331933</v>
      </c>
      <c r="W35" s="359">
        <f>(102*'Emissions Factors'!$D$36*'Calcs - Power'!$G34+'Emissions Factors'!$D$35*('Calcs - Power'!$H34+'Calcs - Power'!$I34+'Calcs - Power'!$J34+'Calcs - Power'!$K34))</f>
        <v>15691.955138900767</v>
      </c>
      <c r="X35" s="366">
        <f>(102*'Emissions Factors'!$D$36*'Calcs - Power'!$B34+'Emissions Factors'!$D$35*('Calcs - Power'!$C34+'Calcs - Power'!$D34+'Calcs - Power'!$E34+'Calcs - Power'!$F34))</f>
        <v>196978.1514331933</v>
      </c>
      <c r="Y35" s="359">
        <f>(102*'Emissions Factors'!$C$38*'Calcs - Power'!$G34+'Emissions Factors'!$C$37*('Calcs - Power'!$H34+'Calcs - Power'!$I34+'Calcs - Power'!$J34+'Calcs - Power'!$K34))</f>
        <v>10676.197729310999</v>
      </c>
      <c r="Z35" s="366">
        <f>(102*'Emissions Factors'!$C$38*'Calcs - Power'!$B34+'Emissions Factors'!$C$37*('Calcs - Power'!$C34+'Calcs - Power'!$D34+'Calcs - Power'!$E34+'Calcs - Power'!$F34))</f>
        <v>141313.92411608298</v>
      </c>
      <c r="AA35" s="359">
        <f>(102*'Emissions Factors'!$C$36*'Calcs - Power'!$G34+'Emissions Factors'!$C$35*('Calcs - Power'!$H34+'Calcs - Power'!$I34+'Calcs - Power'!$J34+'Calcs - Power'!$K34))</f>
        <v>15691.955138900767</v>
      </c>
      <c r="AB35" s="366">
        <f>(102*'Emissions Factors'!$C$36*'Calcs - Power'!$B34+'Emissions Factors'!$C$35*('Calcs - Power'!$C34+'Calcs - Power'!$D34+'Calcs - Power'!$E34+'Calcs - Power'!$F34))</f>
        <v>196978.1514331933</v>
      </c>
      <c r="AI35" s="358">
        <f t="shared" si="12"/>
        <v>23</v>
      </c>
      <c r="AJ35" s="359">
        <f>(('Methane Leakage'!$G$6/'Methane Leakage'!$G$5)*102*'Emissions Factors'!$D$10*'Calcs - Power'!$G34+'Emissions Factors'!$D$11*('Calcs - Power'!$H34+'Calcs - Power'!$I34+'Calcs - Power'!$J34+'Calcs - Power'!$K34))</f>
        <v>1570.7010224510916</v>
      </c>
      <c r="AK35" s="366">
        <f>(('Methane Leakage'!$G$6/'Methane Leakage'!$G$5)*102*'Emissions Factors'!$D$10*'Calcs - Power'!$B34+'Emissions Factors'!$D$11*('Calcs - Power'!$C34+'Calcs - Power'!$D34+'Calcs - Power'!$E34+'Calcs - Power'!$F34))</f>
        <v>21085.405222384637</v>
      </c>
      <c r="AL35" s="359">
        <f>(102*'Emissions Factors'!$E$10*'Calcs - Power'!$G34+'Emissions Factors'!$E$11*('Calcs - Power'!H34+'Calcs - Power'!I34+'Calcs - Power'!J34+'Calcs - Power'!K34))</f>
        <v>1423.9220682676287</v>
      </c>
      <c r="AM35" s="366">
        <f>(102*'Emissions Factors'!$E$10*'Calcs - Power'!$B34+'Emissions Factors'!$E$11*('Calcs - Power'!C34+'Calcs - Power'!D34+'Calcs - Power'!E34+'Calcs - Power'!F34))</f>
        <v>17966.941798292977</v>
      </c>
      <c r="AN35" s="359">
        <f>(102*'Emissions Factors'!$D$10*'Calcs - Power'!$G34+'Emissions Factors'!$D$11*('Calcs - Power'!$H34+'Calcs - Power'!$I34+'Calcs - Power'!$J34+'Calcs - Power'!$K34))</f>
        <v>1570.7010224510916</v>
      </c>
      <c r="AO35" s="366">
        <f>(102*'Emissions Factors'!$D$10*'Calcs - Power'!$B34+'Emissions Factors'!$D$11*('Calcs - Power'!$C34+'Calcs - Power'!$D34+'Calcs - Power'!$E34+'Calcs - Power'!$F34))</f>
        <v>21085.405222384637</v>
      </c>
      <c r="AP35" s="367">
        <f>(102*'Emissions Factors'!$E$10*'Calcs - Power'!$G34+'Emissions Factors'!$E$11*('Calcs - Power'!H34+'Calcs - Power'!I34+'Calcs - Power'!J34+'Calcs - Power'!K34))</f>
        <v>1423.9220682676287</v>
      </c>
      <c r="AQ35" s="366">
        <f>(102*'Emissions Factors'!$E$10*'Calcs - Power'!$B34+'Emissions Factors'!$E$11*('Calcs - Power'!C34+'Calcs - Power'!D34+'Calcs - Power'!E34+'Calcs - Power'!F34))</f>
        <v>17966.941798292977</v>
      </c>
      <c r="AS35" s="357"/>
      <c r="AT35" s="357"/>
      <c r="AU35" s="357"/>
      <c r="AV35" s="357"/>
      <c r="AX35" s="358">
        <f t="shared" si="13"/>
        <v>23</v>
      </c>
      <c r="AY35" s="359">
        <f>(('Methane Leakage'!$G$6/'Methane Leakage'!$G$5)*102*'Emissions Factors'!$F$10*'Calcs - Power'!$G34+'Emissions Factors'!$F$11*('Calcs - Power'!$H34+'Calcs - Power'!$I34+'Calcs - Power'!$J34+'Calcs - Power'!$K34))</f>
        <v>2003184.3287368775</v>
      </c>
      <c r="AZ35" s="366">
        <f>(('Methane Leakage'!$G$6/'Methane Leakage'!$G$5)*102*'Emissions Factors'!$F$10*'Calcs - Power'!$B34+'Emissions Factors'!$F$11*('Calcs - Power'!$C34+'Calcs - Power'!$D34+'Calcs - Power'!$E34+'Calcs - Power'!$F34))</f>
        <v>26489153.943503261</v>
      </c>
      <c r="BA35" s="359">
        <f>(102*'Emissions Factors'!$G$10*'Calcs - Power'!$G34+'Emissions Factors'!$G$11*('Calcs - Power'!H34+'Calcs - Power'!I34+'Calcs - Power'!J34+'Calcs - Power'!K34))</f>
        <v>1628386.7310252383</v>
      </c>
      <c r="BB35" s="366">
        <f>(102*'Emissions Factors'!$G$10*'Calcs - Power'!$B34+'Emissions Factors'!$G$11*('Calcs - Power'!C34+'Calcs - Power'!D34+'Calcs - Power'!E34+'Calcs - Power'!F34))</f>
        <v>20491676.881414685</v>
      </c>
      <c r="BC35" s="359">
        <f>(102*'Emissions Factors'!$F$10*'Calcs - Power'!$G34+'Emissions Factors'!$F$11*('Calcs - Power'!$H34+'Calcs - Power'!$I34+'Calcs - Power'!$J34+'Calcs - Power'!$K34))</f>
        <v>2003184.3287368775</v>
      </c>
      <c r="BD35" s="366">
        <f>(102*'Emissions Factors'!$F$10*'Calcs - Power'!$B34+'Emissions Factors'!$F$11*('Calcs - Power'!$C34+'Calcs - Power'!$D34+'Calcs - Power'!$E34+'Calcs - Power'!$F34))</f>
        <v>26489153.943503261</v>
      </c>
      <c r="BE35" s="359">
        <f>(102*'Emissions Factors'!$G$10*'Calcs - Power'!$G34+'Emissions Factors'!$G$11*('Calcs - Power'!H34+'Calcs - Power'!I34+'Calcs - Power'!J34+'Calcs - Power'!K34))</f>
        <v>1628386.7310252383</v>
      </c>
      <c r="BF35" s="366">
        <f>(102*'Emissions Factors'!$G$10*'Calcs - Power'!$B34+'Emissions Factors'!$G$11*('Calcs - Power'!C34+'Calcs - Power'!D34+'Calcs - Power'!E34+'Calcs - Power'!F34))</f>
        <v>20491676.881414685</v>
      </c>
    </row>
    <row r="36" spans="1:58" x14ac:dyDescent="0.3">
      <c r="A36" s="351">
        <f t="shared" si="10"/>
        <v>24</v>
      </c>
      <c r="B36" s="352">
        <f t="shared" si="0"/>
        <v>0.99999999999999978</v>
      </c>
      <c r="C36" s="363">
        <f t="shared" si="1"/>
        <v>1</v>
      </c>
      <c r="D36" s="352">
        <f t="shared" si="2"/>
        <v>1</v>
      </c>
      <c r="E36" s="364">
        <f t="shared" si="3"/>
        <v>1</v>
      </c>
      <c r="F36" s="364">
        <f t="shared" si="4"/>
        <v>1</v>
      </c>
      <c r="G36" s="365">
        <f t="shared" si="5"/>
        <v>1</v>
      </c>
      <c r="P36" s="358">
        <f t="shared" si="11"/>
        <v>24</v>
      </c>
      <c r="Q36" s="359">
        <f>(('Methane Leakage'!$C$6/'Methane Leakage'!$C$5)*102*'Emissions Factors'!$C$38*'Calcs - Power'!$G35+'Emissions Factors'!$C$37*('Calcs - Power'!$H35+'Calcs - Power'!$I35+'Calcs - Power'!$J35+'Calcs - Power'!$K35))</f>
        <v>10979.545228429621</v>
      </c>
      <c r="R36" s="366">
        <f>(('Methane Leakage'!$C$6/'Methane Leakage'!$C$5)*102*'Emissions Factors'!$C$38*'Calcs - Power'!$B35+'Emissions Factors'!$C$37*('Calcs - Power'!$C35+'Calcs - Power'!$D35+'Calcs - Power'!$E35+'Calcs - Power'!$F35))</f>
        <v>152142.37850918504</v>
      </c>
      <c r="S36" s="359">
        <f>(('Methane Leakage'!$C$6/'Methane Leakage'!$C$5)*102*'Emissions Factors'!$D$38*'Calcs - Power'!$G35+'Emissions Factors'!$D$37*('Calcs - Power'!$H35+'Calcs - Power'!$I35+'Calcs - Power'!$J35+'Calcs - Power'!$K35))</f>
        <v>10979.545228429621</v>
      </c>
      <c r="T36" s="366">
        <f>(('Methane Leakage'!$C$6/'Methane Leakage'!$C$5)*102*'Emissions Factors'!$D$38*'Calcs - Power'!$B35+'Emissions Factors'!$D$37*('Calcs - Power'!$C35+'Calcs - Power'!$D35+'Calcs - Power'!$E35+'Calcs - Power'!$F35))</f>
        <v>152142.37850918504</v>
      </c>
      <c r="U36" s="361">
        <f>(102*'Emissions Factors'!$C$36*'Calcs - Power'!$G35+'Emissions Factors'!$C$35*('Calcs - Power'!$H35+'Calcs - Power'!$I35+'Calcs - Power'!$J35+'Calcs - Power'!$K35))</f>
        <v>16228.467834033005</v>
      </c>
      <c r="V36" s="366">
        <f>(102*'Emissions Factors'!$C$36*'Calcs - Power'!$B35+'Emissions Factors'!$C$35*('Calcs - Power'!$C35+'Calcs - Power'!$D35+'Calcs - Power'!$E35+'Calcs - Power'!$F35))</f>
        <v>212938.96460793578</v>
      </c>
      <c r="W36" s="359">
        <f>(102*'Emissions Factors'!$D$36*'Calcs - Power'!$G35+'Emissions Factors'!$D$35*('Calcs - Power'!$H35+'Calcs - Power'!$I35+'Calcs - Power'!$J35+'Calcs - Power'!$K35))</f>
        <v>16228.467834033005</v>
      </c>
      <c r="X36" s="366">
        <f>(102*'Emissions Factors'!$D$36*'Calcs - Power'!$B35+'Emissions Factors'!$D$35*('Calcs - Power'!$C35+'Calcs - Power'!$D35+'Calcs - Power'!$E35+'Calcs - Power'!$F35))</f>
        <v>212938.96460793578</v>
      </c>
      <c r="Y36" s="359">
        <f>(102*'Emissions Factors'!$C$38*'Calcs - Power'!$G35+'Emissions Factors'!$C$37*('Calcs - Power'!$H35+'Calcs - Power'!$I35+'Calcs - Power'!$J35+'Calcs - Power'!$K35))</f>
        <v>10979.545228429621</v>
      </c>
      <c r="Z36" s="366">
        <f>(102*'Emissions Factors'!$C$38*'Calcs - Power'!$B35+'Emissions Factors'!$C$37*('Calcs - Power'!$C35+'Calcs - Power'!$D35+'Calcs - Power'!$E35+'Calcs - Power'!$F35))</f>
        <v>152142.37850918504</v>
      </c>
      <c r="AA36" s="359">
        <f>(102*'Emissions Factors'!$C$36*'Calcs - Power'!$G35+'Emissions Factors'!$C$35*('Calcs - Power'!$H35+'Calcs - Power'!$I35+'Calcs - Power'!$J35+'Calcs - Power'!$K35))</f>
        <v>16228.467834033005</v>
      </c>
      <c r="AB36" s="366">
        <f>(102*'Emissions Factors'!$C$36*'Calcs - Power'!$B35+'Emissions Factors'!$C$35*('Calcs - Power'!$C35+'Calcs - Power'!$D35+'Calcs - Power'!$E35+'Calcs - Power'!$F35))</f>
        <v>212938.96460793578</v>
      </c>
      <c r="AI36" s="358">
        <f t="shared" si="12"/>
        <v>24</v>
      </c>
      <c r="AJ36" s="359">
        <f>(('Methane Leakage'!$G$6/'Methane Leakage'!$G$5)*102*'Emissions Factors'!$D$10*'Calcs - Power'!$G35+'Emissions Factors'!$D$11*('Calcs - Power'!$H35+'Calcs - Power'!$I35+'Calcs - Power'!$J35+'Calcs - Power'!$K35))</f>
        <v>1612.8364511739983</v>
      </c>
      <c r="AK36" s="366">
        <f>(('Methane Leakage'!$G$6/'Methane Leakage'!$G$5)*102*'Emissions Factors'!$D$10*'Calcs - Power'!$B35+'Emissions Factors'!$D$11*('Calcs - Power'!$C35+'Calcs - Power'!$D35+'Calcs - Power'!$E35+'Calcs - Power'!$F35))</f>
        <v>22677.266735350273</v>
      </c>
      <c r="AL36" s="359">
        <f>(102*'Emissions Factors'!$E$10*'Calcs - Power'!$G35+'Emissions Factors'!$E$11*('Calcs - Power'!H35+'Calcs - Power'!I35+'Calcs - Power'!J35+'Calcs - Power'!K35))</f>
        <v>1471.8228110887087</v>
      </c>
      <c r="AM36" s="366">
        <f>(102*'Emissions Factors'!$E$10*'Calcs - Power'!$B35+'Emissions Factors'!$E$11*('Calcs - Power'!C35+'Calcs - Power'!D35+'Calcs - Power'!E35+'Calcs - Power'!F35))</f>
        <v>19414.871041419679</v>
      </c>
      <c r="AN36" s="359">
        <f>(102*'Emissions Factors'!$D$10*'Calcs - Power'!$G35+'Emissions Factors'!$D$11*('Calcs - Power'!$H35+'Calcs - Power'!$I35+'Calcs - Power'!$J35+'Calcs - Power'!$K35))</f>
        <v>1612.8364511739983</v>
      </c>
      <c r="AO36" s="366">
        <f>(102*'Emissions Factors'!$D$10*'Calcs - Power'!$B35+'Emissions Factors'!$D$11*('Calcs - Power'!$C35+'Calcs - Power'!$D35+'Calcs - Power'!$E35+'Calcs - Power'!$F35))</f>
        <v>22677.266735350273</v>
      </c>
      <c r="AP36" s="367">
        <f>(102*'Emissions Factors'!$E$10*'Calcs - Power'!$G35+'Emissions Factors'!$E$11*('Calcs - Power'!H35+'Calcs - Power'!I35+'Calcs - Power'!J35+'Calcs - Power'!K35))</f>
        <v>1471.8228110887087</v>
      </c>
      <c r="AQ36" s="366">
        <f>(102*'Emissions Factors'!$E$10*'Calcs - Power'!$B35+'Emissions Factors'!$E$11*('Calcs - Power'!C35+'Calcs - Power'!D35+'Calcs - Power'!E35+'Calcs - Power'!F35))</f>
        <v>19414.871041419679</v>
      </c>
      <c r="AS36" s="357"/>
      <c r="AT36" s="357"/>
      <c r="AU36" s="357"/>
      <c r="AV36" s="357"/>
      <c r="AX36" s="358">
        <f t="shared" si="13"/>
        <v>24</v>
      </c>
      <c r="AY36" s="359">
        <f>(('Methane Leakage'!$G$6/'Methane Leakage'!$G$5)*102*'Emissions Factors'!$F$10*'Calcs - Power'!$G35+'Emissions Factors'!$F$11*('Calcs - Power'!$H35+'Calcs - Power'!$I35+'Calcs - Power'!$J35+'Calcs - Power'!$K35))</f>
        <v>2060318.897415</v>
      </c>
      <c r="AZ36" s="366">
        <f>(('Methane Leakage'!$G$6/'Methane Leakage'!$G$5)*102*'Emissions Factors'!$F$10*'Calcs - Power'!$B35+'Emissions Factors'!$F$11*('Calcs - Power'!$C35+'Calcs - Power'!$D35+'Calcs - Power'!$E35+'Calcs - Power'!$F35))</f>
        <v>28521014.318068452</v>
      </c>
      <c r="BA36" s="359">
        <f>(102*'Emissions Factors'!$G$10*'Calcs - Power'!$G35+'Emissions Factors'!$G$11*('Calcs - Power'!H35+'Calcs - Power'!I35+'Calcs - Power'!J35+'Calcs - Power'!K35))</f>
        <v>1683632.0517289236</v>
      </c>
      <c r="BB36" s="366">
        <f>(102*'Emissions Factors'!$G$10*'Calcs - Power'!$B35+'Emissions Factors'!$G$11*('Calcs - Power'!C35+'Calcs - Power'!D35+'Calcs - Power'!E35+'Calcs - Power'!F35))</f>
        <v>22147749.920417864</v>
      </c>
      <c r="BC36" s="359">
        <f>(102*'Emissions Factors'!$F$10*'Calcs - Power'!$G35+'Emissions Factors'!$F$11*('Calcs - Power'!$H35+'Calcs - Power'!$I35+'Calcs - Power'!$J35+'Calcs - Power'!$K35))</f>
        <v>2060318.897415</v>
      </c>
      <c r="BD36" s="366">
        <f>(102*'Emissions Factors'!$F$10*'Calcs - Power'!$B35+'Emissions Factors'!$F$11*('Calcs - Power'!$C35+'Calcs - Power'!$D35+'Calcs - Power'!$E35+'Calcs - Power'!$F35))</f>
        <v>28521014.318068452</v>
      </c>
      <c r="BE36" s="359">
        <f>(102*'Emissions Factors'!$G$10*'Calcs - Power'!$G35+'Emissions Factors'!$G$11*('Calcs - Power'!H35+'Calcs - Power'!I35+'Calcs - Power'!J35+'Calcs - Power'!K35))</f>
        <v>1683632.0517289236</v>
      </c>
      <c r="BF36" s="366">
        <f>(102*'Emissions Factors'!$G$10*'Calcs - Power'!$B35+'Emissions Factors'!$G$11*('Calcs - Power'!C35+'Calcs - Power'!D35+'Calcs - Power'!E35+'Calcs - Power'!F35))</f>
        <v>22147749.920417864</v>
      </c>
    </row>
    <row r="37" spans="1:58" x14ac:dyDescent="0.3">
      <c r="A37" s="351">
        <f t="shared" si="10"/>
        <v>25</v>
      </c>
      <c r="B37" s="352">
        <f t="shared" si="0"/>
        <v>1</v>
      </c>
      <c r="C37" s="363">
        <f t="shared" si="1"/>
        <v>1</v>
      </c>
      <c r="D37" s="352">
        <f t="shared" si="2"/>
        <v>1</v>
      </c>
      <c r="E37" s="364">
        <f t="shared" si="3"/>
        <v>1</v>
      </c>
      <c r="F37" s="364">
        <f t="shared" si="4"/>
        <v>1</v>
      </c>
      <c r="G37" s="365">
        <f t="shared" si="5"/>
        <v>1</v>
      </c>
      <c r="P37" s="358">
        <f t="shared" si="11"/>
        <v>25</v>
      </c>
      <c r="Q37" s="359">
        <f>(('Methane Leakage'!$C$6/'Methane Leakage'!$C$5)*102*'Emissions Factors'!$C$38*'Calcs - Power'!$G36+'Emissions Factors'!$C$37*('Calcs - Power'!$H36+'Calcs - Power'!$I36+'Calcs - Power'!$J36+'Calcs - Power'!$K36))</f>
        <v>11276.123091451045</v>
      </c>
      <c r="R37" s="366">
        <f>(('Methane Leakage'!$C$6/'Methane Leakage'!$C$5)*102*'Emissions Factors'!$C$38*'Calcs - Power'!$B36+'Emissions Factors'!$C$37*('Calcs - Power'!$C36+'Calcs - Power'!$D36+'Calcs - Power'!$E36+'Calcs - Power'!$F36))</f>
        <v>163270.75839579839</v>
      </c>
      <c r="S37" s="359">
        <f>(('Methane Leakage'!$C$6/'Methane Leakage'!$C$5)*102*'Emissions Factors'!$D$38*'Calcs - Power'!$G36+'Emissions Factors'!$D$37*('Calcs - Power'!$H36+'Calcs - Power'!$I36+'Calcs - Power'!$J36+'Calcs - Power'!$K36))</f>
        <v>11276.123091451045</v>
      </c>
      <c r="T37" s="366">
        <f>(('Methane Leakage'!$C$6/'Methane Leakage'!$C$5)*102*'Emissions Factors'!$D$38*'Calcs - Power'!$B36+'Emissions Factors'!$D$37*('Calcs - Power'!$C36+'Calcs - Power'!$D36+'Calcs - Power'!$E36+'Calcs - Power'!$F36))</f>
        <v>163270.75839579839</v>
      </c>
      <c r="U37" s="361">
        <f>(102*'Emissions Factors'!$C$36*'Calcs - Power'!$G36+'Emissions Factors'!$C$35*('Calcs - Power'!$H36+'Calcs - Power'!$I36+'Calcs - Power'!$J36+'Calcs - Power'!$K36))</f>
        <v>16757.934400377981</v>
      </c>
      <c r="V37" s="366">
        <f>(102*'Emissions Factors'!$C$36*'Calcs - Power'!$B36+'Emissions Factors'!$C$35*('Calcs - Power'!$C36+'Calcs - Power'!$D36+'Calcs - Power'!$E36+'Calcs - Power'!$F36))</f>
        <v>229432.73861945199</v>
      </c>
      <c r="W37" s="359">
        <f>(102*'Emissions Factors'!$D$36*'Calcs - Power'!$G36+'Emissions Factors'!$D$35*('Calcs - Power'!$H36+'Calcs - Power'!$I36+'Calcs - Power'!$J36+'Calcs - Power'!$K36))</f>
        <v>16757.934400377981</v>
      </c>
      <c r="X37" s="366">
        <f>(102*'Emissions Factors'!$D$36*'Calcs - Power'!$B36+'Emissions Factors'!$D$35*('Calcs - Power'!$C36+'Calcs - Power'!$D36+'Calcs - Power'!$E36+'Calcs - Power'!$F36))</f>
        <v>229432.73861945199</v>
      </c>
      <c r="Y37" s="359">
        <f>(102*'Emissions Factors'!$C$38*'Calcs - Power'!$G36+'Emissions Factors'!$C$37*('Calcs - Power'!$H36+'Calcs - Power'!$I36+'Calcs - Power'!$J36+'Calcs - Power'!$K36))</f>
        <v>11276.123091451045</v>
      </c>
      <c r="Z37" s="366">
        <f>(102*'Emissions Factors'!$C$38*'Calcs - Power'!$B36+'Emissions Factors'!$C$37*('Calcs - Power'!$C36+'Calcs - Power'!$D36+'Calcs - Power'!$E36+'Calcs - Power'!$F36))</f>
        <v>163270.75839579839</v>
      </c>
      <c r="AA37" s="359">
        <f>(102*'Emissions Factors'!$C$36*'Calcs - Power'!$G36+'Emissions Factors'!$C$35*('Calcs - Power'!$H36+'Calcs - Power'!$I36+'Calcs - Power'!$J36+'Calcs - Power'!$K36))</f>
        <v>16757.934400377981</v>
      </c>
      <c r="AB37" s="366">
        <f>(102*'Emissions Factors'!$C$36*'Calcs - Power'!$B36+'Emissions Factors'!$C$35*('Calcs - Power'!$C36+'Calcs - Power'!$D36+'Calcs - Power'!$E36+'Calcs - Power'!$F36))</f>
        <v>229432.73861945199</v>
      </c>
      <c r="AI37" s="358">
        <f t="shared" si="12"/>
        <v>25</v>
      </c>
      <c r="AJ37" s="359">
        <f>(('Methane Leakage'!$G$6/'Methane Leakage'!$G$5)*102*'Emissions Factors'!$D$10*'Calcs - Power'!$G36+'Emissions Factors'!$D$11*('Calcs - Power'!$H36+'Calcs - Power'!$I36+'Calcs - Power'!$J36+'Calcs - Power'!$K36))</f>
        <v>1653.8960382932974</v>
      </c>
      <c r="AK37" s="366">
        <f>(('Methane Leakage'!$G$6/'Methane Leakage'!$G$5)*102*'Emissions Factors'!$D$10*'Calcs - Power'!$B36+'Emissions Factors'!$D$11*('Calcs - Power'!$C36+'Calcs - Power'!$D36+'Calcs - Power'!$E36+'Calcs - Power'!$F36))</f>
        <v>24310.719573659902</v>
      </c>
      <c r="AL37" s="359">
        <f>(102*'Emissions Factors'!$E$10*'Calcs - Power'!$G36+'Emissions Factors'!$E$11*('Calcs - Power'!H36+'Calcs - Power'!I36+'Calcs - Power'!J36+'Calcs - Power'!K36))</f>
        <v>1519.0590712097933</v>
      </c>
      <c r="AM37" s="366">
        <f>(102*'Emissions Factors'!$E$10*'Calcs - Power'!$B36+'Emissions Factors'!$E$11*('Calcs - Power'!C36+'Calcs - Power'!D36+'Calcs - Power'!E36+'Calcs - Power'!F36))</f>
        <v>20910.365949616356</v>
      </c>
      <c r="AN37" s="359">
        <f>(102*'Emissions Factors'!$D$10*'Calcs - Power'!$G36+'Emissions Factors'!$D$11*('Calcs - Power'!$H36+'Calcs - Power'!$I36+'Calcs - Power'!$J36+'Calcs - Power'!$K36))</f>
        <v>1653.8960382932974</v>
      </c>
      <c r="AO37" s="366">
        <f>(102*'Emissions Factors'!$D$10*'Calcs - Power'!$B36+'Emissions Factors'!$D$11*('Calcs - Power'!$C36+'Calcs - Power'!$D36+'Calcs - Power'!$E36+'Calcs - Power'!$F36))</f>
        <v>24310.719573659902</v>
      </c>
      <c r="AP37" s="367">
        <f>(102*'Emissions Factors'!$E$10*'Calcs - Power'!$G36+'Emissions Factors'!$E$11*('Calcs - Power'!H36+'Calcs - Power'!I36+'Calcs - Power'!J36+'Calcs - Power'!K36))</f>
        <v>1519.0590712097933</v>
      </c>
      <c r="AQ37" s="366">
        <f>(102*'Emissions Factors'!$E$10*'Calcs - Power'!$B36+'Emissions Factors'!$E$11*('Calcs - Power'!C36+'Calcs - Power'!D36+'Calcs - Power'!E36+'Calcs - Power'!F36))</f>
        <v>20910.365949616356</v>
      </c>
      <c r="AS37" s="357"/>
      <c r="AT37" s="357"/>
      <c r="AU37" s="357"/>
      <c r="AV37" s="357"/>
      <c r="AX37" s="358">
        <f t="shared" si="13"/>
        <v>25</v>
      </c>
      <c r="AY37" s="359">
        <f>(('Methane Leakage'!$G$6/'Methane Leakage'!$G$5)*102*'Emissions Factors'!$F$10*'Calcs - Power'!$G36+'Emissions Factors'!$F$11*('Calcs - Power'!$H36+'Calcs - Power'!$I36+'Calcs - Power'!$J36+'Calcs - Power'!$K36))</f>
        <v>2116190.2316071941</v>
      </c>
      <c r="AZ37" s="366">
        <f>(('Methane Leakage'!$G$6/'Methane Leakage'!$G$5)*102*'Emissions Factors'!$F$10*'Calcs - Power'!$B36+'Emissions Factors'!$F$11*('Calcs - Power'!$C36+'Calcs - Power'!$D36+'Calcs - Power'!$E36+'Calcs - Power'!$F36))</f>
        <v>30609370.728510059</v>
      </c>
      <c r="BA37" s="359">
        <f>(102*'Emissions Factors'!$G$10*'Calcs - Power'!$G36+'Emissions Factors'!$G$11*('Calcs - Power'!H36+'Calcs - Power'!I36+'Calcs - Power'!J36+'Calcs - Power'!K36))</f>
        <v>1738132.4153630126</v>
      </c>
      <c r="BB37" s="366">
        <f>(102*'Emissions Factors'!$G$10*'Calcs - Power'!$B36+'Emissions Factors'!$G$11*('Calcs - Power'!C36+'Calcs - Power'!D36+'Calcs - Power'!E36+'Calcs - Power'!F36))</f>
        <v>23858692.690973166</v>
      </c>
      <c r="BC37" s="359">
        <f>(102*'Emissions Factors'!$F$10*'Calcs - Power'!$G36+'Emissions Factors'!$F$11*('Calcs - Power'!$H36+'Calcs - Power'!$I36+'Calcs - Power'!$J36+'Calcs - Power'!$K36))</f>
        <v>2116190.2316071941</v>
      </c>
      <c r="BD37" s="366">
        <f>(102*'Emissions Factors'!$F$10*'Calcs - Power'!$B36+'Emissions Factors'!$F$11*('Calcs - Power'!$C36+'Calcs - Power'!$D36+'Calcs - Power'!$E36+'Calcs - Power'!$F36))</f>
        <v>30609370.728510059</v>
      </c>
      <c r="BE37" s="359">
        <f>(102*'Emissions Factors'!$G$10*'Calcs - Power'!$G36+'Emissions Factors'!$G$11*('Calcs - Power'!H36+'Calcs - Power'!I36+'Calcs - Power'!J36+'Calcs - Power'!K36))</f>
        <v>1738132.4153630126</v>
      </c>
      <c r="BF37" s="366">
        <f>(102*'Emissions Factors'!$G$10*'Calcs - Power'!$B36+'Emissions Factors'!$G$11*('Calcs - Power'!C36+'Calcs - Power'!D36+'Calcs - Power'!E36+'Calcs - Power'!F36))</f>
        <v>23858692.690973166</v>
      </c>
    </row>
    <row r="38" spans="1:58" x14ac:dyDescent="0.3">
      <c r="A38" s="351">
        <f t="shared" si="10"/>
        <v>26</v>
      </c>
      <c r="B38" s="352">
        <f t="shared" si="0"/>
        <v>0.99999999999999978</v>
      </c>
      <c r="C38" s="363">
        <f t="shared" si="1"/>
        <v>0.99999999999999978</v>
      </c>
      <c r="D38" s="352">
        <f t="shared" si="2"/>
        <v>1</v>
      </c>
      <c r="E38" s="364">
        <f t="shared" si="3"/>
        <v>1</v>
      </c>
      <c r="F38" s="364">
        <f t="shared" si="4"/>
        <v>1</v>
      </c>
      <c r="G38" s="365">
        <f t="shared" si="5"/>
        <v>1</v>
      </c>
      <c r="P38" s="358">
        <f t="shared" si="11"/>
        <v>26</v>
      </c>
      <c r="Q38" s="359">
        <f>(('Methane Leakage'!$C$6/'Methane Leakage'!$C$5)*102*'Emissions Factors'!$C$38*'Calcs - Power'!$G37+'Emissions Factors'!$C$37*('Calcs - Power'!$H37+'Calcs - Power'!$I37+'Calcs - Power'!$J37+'Calcs - Power'!$K37))</f>
        <v>11566.36145601737</v>
      </c>
      <c r="R38" s="366">
        <f>(('Methane Leakage'!$C$6/'Methane Leakage'!$C$5)*102*'Emissions Factors'!$C$38*'Calcs - Power'!$B37+'Emissions Factors'!$C$37*('Calcs - Power'!$C37+'Calcs - Power'!$D37+'Calcs - Power'!$E37+'Calcs - Power'!$F37))</f>
        <v>174692.51186684254</v>
      </c>
      <c r="S38" s="359">
        <f>(('Methane Leakage'!$C$6/'Methane Leakage'!$C$5)*102*'Emissions Factors'!$D$38*'Calcs - Power'!$G37+'Emissions Factors'!$D$37*('Calcs - Power'!$H37+'Calcs - Power'!$I37+'Calcs - Power'!$J37+'Calcs - Power'!$K37))</f>
        <v>11566.36145601737</v>
      </c>
      <c r="T38" s="366">
        <f>(('Methane Leakage'!$C$6/'Methane Leakage'!$C$5)*102*'Emissions Factors'!$D$38*'Calcs - Power'!$B37+'Emissions Factors'!$D$37*('Calcs - Power'!$C37+'Calcs - Power'!$D37+'Calcs - Power'!$E37+'Calcs - Power'!$F37))</f>
        <v>174692.51186684254</v>
      </c>
      <c r="U38" s="361">
        <f>(102*'Emissions Factors'!$C$36*'Calcs - Power'!$G37+'Emissions Factors'!$C$35*('Calcs - Power'!$H37+'Calcs - Power'!$I37+'Calcs - Power'!$J37+'Calcs - Power'!$K37))</f>
        <v>17280.690346209482</v>
      </c>
      <c r="V38" s="366">
        <f>(102*'Emissions Factors'!$C$36*'Calcs - Power'!$B37+'Emissions Factors'!$C$35*('Calcs - Power'!$C37+'Calcs - Power'!$D37+'Calcs - Power'!$E37+'Calcs - Power'!$F37))</f>
        <v>246452.59674912319</v>
      </c>
      <c r="W38" s="359">
        <f>(102*'Emissions Factors'!$D$36*'Calcs - Power'!$G37+'Emissions Factors'!$D$35*('Calcs - Power'!$H37+'Calcs - Power'!$I37+'Calcs - Power'!$J37+'Calcs - Power'!$K37))</f>
        <v>17280.690346209482</v>
      </c>
      <c r="X38" s="366">
        <f>(102*'Emissions Factors'!$D$36*'Calcs - Power'!$B37+'Emissions Factors'!$D$35*('Calcs - Power'!$C37+'Calcs - Power'!$D37+'Calcs - Power'!$E37+'Calcs - Power'!$F37))</f>
        <v>246452.59674912319</v>
      </c>
      <c r="Y38" s="359">
        <f>(102*'Emissions Factors'!$C$38*'Calcs - Power'!$G37+'Emissions Factors'!$C$37*('Calcs - Power'!$H37+'Calcs - Power'!$I37+'Calcs - Power'!$J37+'Calcs - Power'!$K37))</f>
        <v>11566.36145601737</v>
      </c>
      <c r="Z38" s="366">
        <f>(102*'Emissions Factors'!$C$38*'Calcs - Power'!$B37+'Emissions Factors'!$C$37*('Calcs - Power'!$C37+'Calcs - Power'!$D37+'Calcs - Power'!$E37+'Calcs - Power'!$F37))</f>
        <v>174692.51186684254</v>
      </c>
      <c r="AA38" s="359">
        <f>(102*'Emissions Factors'!$C$36*'Calcs - Power'!$G37+'Emissions Factors'!$C$35*('Calcs - Power'!$H37+'Calcs - Power'!$I37+'Calcs - Power'!$J37+'Calcs - Power'!$K37))</f>
        <v>17280.690346209482</v>
      </c>
      <c r="AB38" s="366">
        <f>(102*'Emissions Factors'!$C$36*'Calcs - Power'!$B37+'Emissions Factors'!$C$35*('Calcs - Power'!$C37+'Calcs - Power'!$D37+'Calcs - Power'!$E37+'Calcs - Power'!$F37))</f>
        <v>246452.59674912319</v>
      </c>
      <c r="AI38" s="358">
        <f t="shared" si="12"/>
        <v>26</v>
      </c>
      <c r="AJ38" s="359">
        <f>(('Methane Leakage'!$G$6/'Methane Leakage'!$G$5)*102*'Emissions Factors'!$D$10*'Calcs - Power'!$G37+'Emissions Factors'!$D$11*('Calcs - Power'!$H37+'Calcs - Power'!$I37+'Calcs - Power'!$J37+'Calcs - Power'!$K37))</f>
        <v>1693.9512282911116</v>
      </c>
      <c r="AK38" s="366">
        <f>(('Methane Leakage'!$G$6/'Methane Leakage'!$G$5)*102*'Emissions Factors'!$D$10*'Calcs - Power'!$B37+'Emissions Factors'!$D$11*('Calcs - Power'!$C37+'Calcs - Power'!$D37+'Calcs - Power'!$E37+'Calcs - Power'!$F37))</f>
        <v>25984.724070949593</v>
      </c>
      <c r="AL38" s="359">
        <f>(102*'Emissions Factors'!$E$10*'Calcs - Power'!$G37+'Emissions Factors'!$E$11*('Calcs - Power'!H37+'Calcs - Power'!I37+'Calcs - Power'!J37+'Calcs - Power'!K37))</f>
        <v>1565.6638581604816</v>
      </c>
      <c r="AM38" s="366">
        <f>(102*'Emissions Factors'!$E$10*'Calcs - Power'!$B37+'Emissions Factors'!$E$11*('Calcs - Power'!C37+'Calcs - Power'!D37+'Calcs - Power'!E37+'Calcs - Power'!F37))</f>
        <v>22452.778714677457</v>
      </c>
      <c r="AN38" s="359">
        <f>(102*'Emissions Factors'!$D$10*'Calcs - Power'!$G37+'Emissions Factors'!$D$11*('Calcs - Power'!$H37+'Calcs - Power'!$I37+'Calcs - Power'!$J37+'Calcs - Power'!$K37))</f>
        <v>1693.9512282911116</v>
      </c>
      <c r="AO38" s="366">
        <f>(102*'Emissions Factors'!$D$10*'Calcs - Power'!$B37+'Emissions Factors'!$D$11*('Calcs - Power'!$C37+'Calcs - Power'!$D37+'Calcs - Power'!$E37+'Calcs - Power'!$F37))</f>
        <v>25984.724070949593</v>
      </c>
      <c r="AP38" s="367">
        <f>(102*'Emissions Factors'!$E$10*'Calcs - Power'!$G37+'Emissions Factors'!$E$11*('Calcs - Power'!H37+'Calcs - Power'!I37+'Calcs - Power'!J37+'Calcs - Power'!K37))</f>
        <v>1565.6638581604816</v>
      </c>
      <c r="AQ38" s="366">
        <f>(102*'Emissions Factors'!$E$10*'Calcs - Power'!$B37+'Emissions Factors'!$E$11*('Calcs - Power'!C37+'Calcs - Power'!D37+'Calcs - Power'!E37+'Calcs - Power'!F37))</f>
        <v>22452.778714677457</v>
      </c>
      <c r="AS38" s="357"/>
      <c r="AT38" s="357"/>
      <c r="AU38" s="357"/>
      <c r="AV38" s="357"/>
      <c r="AX38" s="358">
        <f t="shared" si="13"/>
        <v>26</v>
      </c>
      <c r="AY38" s="359">
        <f>(('Methane Leakage'!$G$6/'Methane Leakage'!$G$5)*102*'Emissions Factors'!$F$10*'Calcs - Power'!$G37+'Emissions Factors'!$F$11*('Calcs - Power'!$H37+'Calcs - Power'!$I37+'Calcs - Power'!$J37+'Calcs - Power'!$K37))</f>
        <v>2170878.3274508328</v>
      </c>
      <c r="AZ38" s="366">
        <f>(('Methane Leakage'!$G$6/'Methane Leakage'!$G$5)*102*'Emissions Factors'!$F$10*'Calcs - Power'!$B37+'Emissions Factors'!$F$11*('Calcs - Power'!$C37+'Calcs - Power'!$D37+'Calcs - Power'!$E37+'Calcs - Power'!$F37))</f>
        <v>32753000.431776676</v>
      </c>
      <c r="BA38" s="359">
        <f>(102*'Emissions Factors'!$G$10*'Calcs - Power'!$G37+'Emissions Factors'!$G$11*('Calcs - Power'!H37+'Calcs - Power'!I37+'Calcs - Power'!J37+'Calcs - Power'!K37))</f>
        <v>1791924.044833404</v>
      </c>
      <c r="BB38" s="366">
        <f>(102*'Emissions Factors'!$G$10*'Calcs - Power'!$B37+'Emissions Factors'!$G$11*('Calcs - Power'!C37+'Calcs - Power'!D37+'Calcs - Power'!E37+'Calcs - Power'!F37))</f>
        <v>25623778.52998434</v>
      </c>
      <c r="BC38" s="359">
        <f>(102*'Emissions Factors'!$F$10*'Calcs - Power'!$G37+'Emissions Factors'!$F$11*('Calcs - Power'!$H37+'Calcs - Power'!$I37+'Calcs - Power'!$J37+'Calcs - Power'!$K37))</f>
        <v>2170878.3274508328</v>
      </c>
      <c r="BD38" s="366">
        <f>(102*'Emissions Factors'!$F$10*'Calcs - Power'!$B37+'Emissions Factors'!$F$11*('Calcs - Power'!$C37+'Calcs - Power'!$D37+'Calcs - Power'!$E37+'Calcs - Power'!$F37))</f>
        <v>32753000.431776676</v>
      </c>
      <c r="BE38" s="359">
        <f>(102*'Emissions Factors'!$G$10*'Calcs - Power'!$G37+'Emissions Factors'!$G$11*('Calcs - Power'!H37+'Calcs - Power'!I37+'Calcs - Power'!J37+'Calcs - Power'!K37))</f>
        <v>1791924.044833404</v>
      </c>
      <c r="BF38" s="366">
        <f>(102*'Emissions Factors'!$G$10*'Calcs - Power'!$B37+'Emissions Factors'!$G$11*('Calcs - Power'!C37+'Calcs - Power'!D37+'Calcs - Power'!E37+'Calcs - Power'!F37))</f>
        <v>25623778.52998434</v>
      </c>
    </row>
    <row r="39" spans="1:58" x14ac:dyDescent="0.3">
      <c r="A39" s="351">
        <f t="shared" si="10"/>
        <v>27</v>
      </c>
      <c r="B39" s="352">
        <f t="shared" si="0"/>
        <v>1</v>
      </c>
      <c r="C39" s="363">
        <f t="shared" si="1"/>
        <v>0.99999999999999978</v>
      </c>
      <c r="D39" s="352">
        <f t="shared" si="2"/>
        <v>1</v>
      </c>
      <c r="E39" s="364">
        <f t="shared" si="3"/>
        <v>1</v>
      </c>
      <c r="F39" s="364">
        <f t="shared" si="4"/>
        <v>1</v>
      </c>
      <c r="G39" s="365">
        <f t="shared" si="5"/>
        <v>1</v>
      </c>
      <c r="P39" s="358">
        <f t="shared" si="11"/>
        <v>27</v>
      </c>
      <c r="Q39" s="359">
        <f>(('Methane Leakage'!$C$6/'Methane Leakage'!$C$5)*102*'Emissions Factors'!$C$38*'Calcs - Power'!$G38+'Emissions Factors'!$C$37*('Calcs - Power'!$H38+'Calcs - Power'!$I38+'Calcs - Power'!$J38+'Calcs - Power'!$K38))</f>
        <v>11850.659755891875</v>
      </c>
      <c r="R39" s="366">
        <f>(('Methane Leakage'!$C$6/'Methane Leakage'!$C$5)*102*'Emissions Factors'!$C$38*'Calcs - Power'!$B38+'Emissions Factors'!$C$37*('Calcs - Power'!$C38+'Calcs - Power'!$D38+'Calcs - Power'!$E38+'Calcs - Power'!$F38))</f>
        <v>186401.5016019351</v>
      </c>
      <c r="S39" s="359">
        <f>(('Methane Leakage'!$C$6/'Methane Leakage'!$C$5)*102*'Emissions Factors'!$D$38*'Calcs - Power'!$G38+'Emissions Factors'!$D$37*('Calcs - Power'!$H38+'Calcs - Power'!$I38+'Calcs - Power'!$J38+'Calcs - Power'!$K38))</f>
        <v>11850.659755891875</v>
      </c>
      <c r="T39" s="366">
        <f>(('Methane Leakage'!$C$6/'Methane Leakage'!$C$5)*102*'Emissions Factors'!$D$38*'Calcs - Power'!$B38+'Emissions Factors'!$D$37*('Calcs - Power'!$C38+'Calcs - Power'!$D38+'Calcs - Power'!$E38+'Calcs - Power'!$F38))</f>
        <v>186401.5016019351</v>
      </c>
      <c r="U39" s="361">
        <f>(102*'Emissions Factors'!$C$36*'Calcs - Power'!$G38+'Emissions Factors'!$C$35*('Calcs - Power'!$H38+'Calcs - Power'!$I38+'Calcs - Power'!$J38+'Calcs - Power'!$K38))</f>
        <v>17797.051916068238</v>
      </c>
      <c r="V39" s="366">
        <f>(102*'Emissions Factors'!$C$36*'Calcs - Power'!$B38+'Emissions Factors'!$C$35*('Calcs - Power'!$C38+'Calcs - Power'!$D38+'Calcs - Power'!$E38+'Calcs - Power'!$F38))</f>
        <v>263991.98805417813</v>
      </c>
      <c r="W39" s="359">
        <f>(102*'Emissions Factors'!$D$36*'Calcs - Power'!$G38+'Emissions Factors'!$D$35*('Calcs - Power'!$H38+'Calcs - Power'!$I38+'Calcs - Power'!$J38+'Calcs - Power'!$K38))</f>
        <v>17797.051916068238</v>
      </c>
      <c r="X39" s="366">
        <f>(102*'Emissions Factors'!$D$36*'Calcs - Power'!$B38+'Emissions Factors'!$D$35*('Calcs - Power'!$C38+'Calcs - Power'!$D38+'Calcs - Power'!$E38+'Calcs - Power'!$F38))</f>
        <v>263991.98805417813</v>
      </c>
      <c r="Y39" s="359">
        <f>(102*'Emissions Factors'!$C$38*'Calcs - Power'!$G38+'Emissions Factors'!$C$37*('Calcs - Power'!$H38+'Calcs - Power'!$I38+'Calcs - Power'!$J38+'Calcs - Power'!$K38))</f>
        <v>11850.659755891875</v>
      </c>
      <c r="Z39" s="366">
        <f>(102*'Emissions Factors'!$C$38*'Calcs - Power'!$B38+'Emissions Factors'!$C$37*('Calcs - Power'!$C38+'Calcs - Power'!$D38+'Calcs - Power'!$E38+'Calcs - Power'!$F38))</f>
        <v>186401.5016019351</v>
      </c>
      <c r="AA39" s="359">
        <f>(102*'Emissions Factors'!$C$36*'Calcs - Power'!$G38+'Emissions Factors'!$C$35*('Calcs - Power'!$H38+'Calcs - Power'!$I38+'Calcs - Power'!$J38+'Calcs - Power'!$K38))</f>
        <v>17797.051916068238</v>
      </c>
      <c r="AB39" s="366">
        <f>(102*'Emissions Factors'!$C$36*'Calcs - Power'!$B38+'Emissions Factors'!$C$35*('Calcs - Power'!$C38+'Calcs - Power'!$D38+'Calcs - Power'!$E38+'Calcs - Power'!$F38))</f>
        <v>263991.98805417813</v>
      </c>
      <c r="AI39" s="358">
        <f t="shared" si="12"/>
        <v>27</v>
      </c>
      <c r="AJ39" s="359">
        <f>(('Methane Leakage'!$G$6/'Methane Leakage'!$G$5)*102*'Emissions Factors'!$D$10*'Calcs - Power'!$G38+'Emissions Factors'!$D$11*('Calcs - Power'!$H38+'Calcs - Power'!$I38+'Calcs - Power'!$J38+'Calcs - Power'!$K38))</f>
        <v>1733.068236949925</v>
      </c>
      <c r="AK39" s="366">
        <f>(('Methane Leakage'!$G$6/'Methane Leakage'!$G$5)*102*'Emissions Factors'!$D$10*'Calcs - Power'!$B38+'Emissions Factors'!$D$11*('Calcs - Power'!$C38+'Calcs - Power'!$D38+'Calcs - Power'!$E38+'Calcs - Power'!$F38))</f>
        <v>27698.309356805097</v>
      </c>
      <c r="AL39" s="359">
        <f>(102*'Emissions Factors'!$E$10*'Calcs - Power'!$G38+'Emissions Factors'!$E$11*('Calcs - Power'!H38+'Calcs - Power'!I38+'Calcs - Power'!J38+'Calcs - Power'!K38))</f>
        <v>1611.6682098591189</v>
      </c>
      <c r="AM39" s="366">
        <f>(102*'Emissions Factors'!$E$10*'Calcs - Power'!$B38+'Emissions Factors'!$E$11*('Calcs - Power'!C38+'Calcs - Power'!D38+'Calcs - Power'!E38+'Calcs - Power'!F38))</f>
        <v>24041.493541362688</v>
      </c>
      <c r="AN39" s="359">
        <f>(102*'Emissions Factors'!$D$10*'Calcs - Power'!$G38+'Emissions Factors'!$D$11*('Calcs - Power'!$H38+'Calcs - Power'!$I38+'Calcs - Power'!$J38+'Calcs - Power'!$K38))</f>
        <v>1733.068236949925</v>
      </c>
      <c r="AO39" s="366">
        <f>(102*'Emissions Factors'!$D$10*'Calcs - Power'!$B38+'Emissions Factors'!$D$11*('Calcs - Power'!$C38+'Calcs - Power'!$D38+'Calcs - Power'!$E38+'Calcs - Power'!$F38))</f>
        <v>27698.309356805097</v>
      </c>
      <c r="AP39" s="367">
        <f>(102*'Emissions Factors'!$E$10*'Calcs - Power'!$G38+'Emissions Factors'!$E$11*('Calcs - Power'!H38+'Calcs - Power'!I38+'Calcs - Power'!J38+'Calcs - Power'!K38))</f>
        <v>1611.6682098591189</v>
      </c>
      <c r="AQ39" s="366">
        <f>(102*'Emissions Factors'!$E$10*'Calcs - Power'!$B38+'Emissions Factors'!$E$11*('Calcs - Power'!C38+'Calcs - Power'!D38+'Calcs - Power'!E38+'Calcs - Power'!F38))</f>
        <v>24041.493541362688</v>
      </c>
      <c r="AS39" s="357"/>
      <c r="AT39" s="357"/>
      <c r="AU39" s="357"/>
      <c r="AV39" s="357"/>
      <c r="AX39" s="358">
        <f t="shared" si="13"/>
        <v>27</v>
      </c>
      <c r="AY39" s="359">
        <f>(('Methane Leakage'!$G$6/'Methane Leakage'!$G$5)*102*'Emissions Factors'!$F$10*'Calcs - Power'!$G38+'Emissions Factors'!$F$11*('Calcs - Power'!$H38+'Calcs - Power'!$I38+'Calcs - Power'!$J38+'Calcs - Power'!$K38))</f>
        <v>2224457.4820642173</v>
      </c>
      <c r="AZ39" s="366">
        <f>(('Methane Leakage'!$G$6/'Methane Leakage'!$G$5)*102*'Emissions Factors'!$F$10*'Calcs - Power'!$B38+'Emissions Factors'!$F$11*('Calcs - Power'!$C38+'Calcs - Power'!$D38+'Calcs - Power'!$E38+'Calcs - Power'!$F38))</f>
        <v>34950757.794933453</v>
      </c>
      <c r="BA39" s="359">
        <f>(102*'Emissions Factors'!$G$10*'Calcs - Power'!$G38+'Emissions Factors'!$G$11*('Calcs - Power'!H38+'Calcs - Power'!I38+'Calcs - Power'!J38+'Calcs - Power'!K38))</f>
        <v>1845041.0413989269</v>
      </c>
      <c r="BB39" s="366">
        <f>(102*'Emissions Factors'!$G$10*'Calcs - Power'!$B38+'Emissions Factors'!$G$11*('Calcs - Power'!C38+'Calcs - Power'!D38+'Calcs - Power'!E38+'Calcs - Power'!F38))</f>
        <v>27442315.92510628</v>
      </c>
      <c r="BC39" s="359">
        <f>(102*'Emissions Factors'!$F$10*'Calcs - Power'!$G38+'Emissions Factors'!$F$11*('Calcs - Power'!$H38+'Calcs - Power'!$I38+'Calcs - Power'!$J38+'Calcs - Power'!$K38))</f>
        <v>2224457.4820642173</v>
      </c>
      <c r="BD39" s="366">
        <f>(102*'Emissions Factors'!$F$10*'Calcs - Power'!$B38+'Emissions Factors'!$F$11*('Calcs - Power'!$C38+'Calcs - Power'!$D38+'Calcs - Power'!$E38+'Calcs - Power'!$F38))</f>
        <v>34950757.794933453</v>
      </c>
      <c r="BE39" s="359">
        <f>(102*'Emissions Factors'!$G$10*'Calcs - Power'!$G38+'Emissions Factors'!$G$11*('Calcs - Power'!H38+'Calcs - Power'!I38+'Calcs - Power'!J38+'Calcs - Power'!K38))</f>
        <v>1845041.0413989269</v>
      </c>
      <c r="BF39" s="366">
        <f>(102*'Emissions Factors'!$G$10*'Calcs - Power'!$B38+'Emissions Factors'!$G$11*('Calcs - Power'!C38+'Calcs - Power'!D38+'Calcs - Power'!E38+'Calcs - Power'!F38))</f>
        <v>27442315.92510628</v>
      </c>
    </row>
    <row r="40" spans="1:58" x14ac:dyDescent="0.3">
      <c r="A40" s="351">
        <f t="shared" si="10"/>
        <v>28</v>
      </c>
      <c r="B40" s="352">
        <f t="shared" si="0"/>
        <v>0.99999999999999989</v>
      </c>
      <c r="C40" s="363">
        <f t="shared" si="1"/>
        <v>1</v>
      </c>
      <c r="D40" s="352">
        <f t="shared" si="2"/>
        <v>1</v>
      </c>
      <c r="E40" s="364">
        <f t="shared" si="3"/>
        <v>1</v>
      </c>
      <c r="F40" s="364">
        <f t="shared" si="4"/>
        <v>1</v>
      </c>
      <c r="G40" s="365">
        <f t="shared" si="5"/>
        <v>1</v>
      </c>
      <c r="P40" s="358">
        <f t="shared" si="11"/>
        <v>28</v>
      </c>
      <c r="Q40" s="359">
        <f>(('Methane Leakage'!$C$6/'Methane Leakage'!$C$5)*102*'Emissions Factors'!$C$38*'Calcs - Power'!$G39+'Emissions Factors'!$C$37*('Calcs - Power'!$H39+'Calcs - Power'!$I39+'Calcs - Power'!$J39+'Calcs - Power'!$K39))</f>
        <v>12129.388994402425</v>
      </c>
      <c r="R40" s="366">
        <f>(('Methane Leakage'!$C$6/'Methane Leakage'!$C$5)*102*'Emissions Factors'!$C$38*'Calcs - Power'!$B39+'Emissions Factors'!$C$37*('Calcs - Power'!$C39+'Calcs - Power'!$D39+'Calcs - Power'!$E39+'Calcs - Power'!$F39))</f>
        <v>198391.97531717611</v>
      </c>
      <c r="S40" s="359">
        <f>(('Methane Leakage'!$C$6/'Methane Leakage'!$C$5)*102*'Emissions Factors'!$D$38*'Calcs - Power'!$G39+'Emissions Factors'!$D$37*('Calcs - Power'!$H39+'Calcs - Power'!$I39+'Calcs - Power'!$J39+'Calcs - Power'!$K39))</f>
        <v>12129.388994402425</v>
      </c>
      <c r="T40" s="366">
        <f>(('Methane Leakage'!$C$6/'Methane Leakage'!$C$5)*102*'Emissions Factors'!$D$38*'Calcs - Power'!$B39+'Emissions Factors'!$D$37*('Calcs - Power'!$C39+'Calcs - Power'!$D39+'Calcs - Power'!$E39+'Calcs - Power'!$F39))</f>
        <v>198391.97531717611</v>
      </c>
      <c r="U40" s="361">
        <f>(102*'Emissions Factors'!$C$36*'Calcs - Power'!$G39+'Emissions Factors'!$C$35*('Calcs - Power'!$H39+'Calcs - Power'!$I39+'Calcs - Power'!$J39+'Calcs - Power'!$K39))</f>
        <v>18307.317258846186</v>
      </c>
      <c r="V40" s="366">
        <f>(102*'Emissions Factors'!$C$36*'Calcs - Power'!$B39+'Emissions Factors'!$C$35*('Calcs - Power'!$C39+'Calcs - Power'!$D39+'Calcs - Power'!$E39+'Calcs - Power'!$F39))</f>
        <v>282044.66869438119</v>
      </c>
      <c r="W40" s="359">
        <f>(102*'Emissions Factors'!$D$36*'Calcs - Power'!$G39+'Emissions Factors'!$D$35*('Calcs - Power'!$H39+'Calcs - Power'!$I39+'Calcs - Power'!$J39+'Calcs - Power'!$K39))</f>
        <v>18307.317258846186</v>
      </c>
      <c r="X40" s="366">
        <f>(102*'Emissions Factors'!$D$36*'Calcs - Power'!$B39+'Emissions Factors'!$D$35*('Calcs - Power'!$C39+'Calcs - Power'!$D39+'Calcs - Power'!$E39+'Calcs - Power'!$F39))</f>
        <v>282044.66869438119</v>
      </c>
      <c r="Y40" s="359">
        <f>(102*'Emissions Factors'!$C$38*'Calcs - Power'!$G39+'Emissions Factors'!$C$37*('Calcs - Power'!$H39+'Calcs - Power'!$I39+'Calcs - Power'!$J39+'Calcs - Power'!$K39))</f>
        <v>12129.388994402425</v>
      </c>
      <c r="Z40" s="366">
        <f>(102*'Emissions Factors'!$C$38*'Calcs - Power'!$B39+'Emissions Factors'!$C$37*('Calcs - Power'!$C39+'Calcs - Power'!$D39+'Calcs - Power'!$E39+'Calcs - Power'!$F39))</f>
        <v>198391.97531717611</v>
      </c>
      <c r="AA40" s="359">
        <f>(102*'Emissions Factors'!$C$36*'Calcs - Power'!$G39+'Emissions Factors'!$C$35*('Calcs - Power'!$H39+'Calcs - Power'!$I39+'Calcs - Power'!$J39+'Calcs - Power'!$K39))</f>
        <v>18307.317258846186</v>
      </c>
      <c r="AB40" s="366">
        <f>(102*'Emissions Factors'!$C$36*'Calcs - Power'!$B39+'Emissions Factors'!$C$35*('Calcs - Power'!$C39+'Calcs - Power'!$D39+'Calcs - Power'!$E39+'Calcs - Power'!$F39))</f>
        <v>282044.66869438119</v>
      </c>
      <c r="AI40" s="358">
        <f t="shared" si="12"/>
        <v>28</v>
      </c>
      <c r="AJ40" s="359">
        <f>(('Methane Leakage'!$G$6/'Methane Leakage'!$G$5)*102*'Emissions Factors'!$D$10*'Calcs - Power'!$G39+'Emissions Factors'!$D$11*('Calcs - Power'!$H39+'Calcs - Power'!$I39+'Calcs - Power'!$J39+'Calcs - Power'!$K39))</f>
        <v>1771.3084456121346</v>
      </c>
      <c r="AK40" s="366">
        <f>(('Methane Leakage'!$G$6/'Methane Leakage'!$G$5)*102*'Emissions Factors'!$D$10*'Calcs - Power'!$B39+'Emissions Factors'!$D$11*('Calcs - Power'!$C39+'Calcs - Power'!$D39+'Calcs - Power'!$E39+'Calcs - Power'!$F39))</f>
        <v>29450.56832781883</v>
      </c>
      <c r="AL40" s="359">
        <f>(102*'Emissions Factors'!$E$10*'Calcs - Power'!$G39+'Emissions Factors'!$E$11*('Calcs - Power'!H39+'Calcs - Power'!I39+'Calcs - Power'!J39+'Calcs - Power'!K39))</f>
        <v>1657.1013173945703</v>
      </c>
      <c r="AM40" s="366">
        <f>(102*'Emissions Factors'!$E$10*'Calcs - Power'!$B39+'Emissions Factors'!$E$11*('Calcs - Power'!C39+'Calcs - Power'!D39+'Calcs - Power'!E39+'Calcs - Power'!F39))</f>
        <v>25675.924738890175</v>
      </c>
      <c r="AN40" s="359">
        <f>(102*'Emissions Factors'!$D$10*'Calcs - Power'!$G39+'Emissions Factors'!$D$11*('Calcs - Power'!$H39+'Calcs - Power'!$I39+'Calcs - Power'!$J39+'Calcs - Power'!$K39))</f>
        <v>1771.3084456121346</v>
      </c>
      <c r="AO40" s="366">
        <f>(102*'Emissions Factors'!$D$10*'Calcs - Power'!$B39+'Emissions Factors'!$D$11*('Calcs - Power'!$C39+'Calcs - Power'!$D39+'Calcs - Power'!$E39+'Calcs - Power'!$F39))</f>
        <v>29450.56832781883</v>
      </c>
      <c r="AP40" s="367">
        <f>(102*'Emissions Factors'!$E$10*'Calcs - Power'!$G39+'Emissions Factors'!$E$11*('Calcs - Power'!H39+'Calcs - Power'!I39+'Calcs - Power'!J39+'Calcs - Power'!K39))</f>
        <v>1657.1013173945703</v>
      </c>
      <c r="AQ40" s="366">
        <f>(102*'Emissions Factors'!$E$10*'Calcs - Power'!$B39+'Emissions Factors'!$E$11*('Calcs - Power'!C39+'Calcs - Power'!D39+'Calcs - Power'!E39+'Calcs - Power'!F39))</f>
        <v>25675.924738890175</v>
      </c>
      <c r="AS40" s="357"/>
      <c r="AT40" s="357"/>
      <c r="AU40" s="357"/>
      <c r="AV40" s="357"/>
      <c r="AX40" s="358">
        <f t="shared" si="13"/>
        <v>28</v>
      </c>
      <c r="AY40" s="359">
        <f>(('Methane Leakage'!$G$6/'Methane Leakage'!$G$5)*102*'Emissions Factors'!$F$10*'Calcs - Power'!$G39+'Emissions Factors'!$F$11*('Calcs - Power'!$H39+'Calcs - Power'!$I39+'Calcs - Power'!$J39+'Calcs - Power'!$K39))</f>
        <v>2276996.7149068569</v>
      </c>
      <c r="AZ40" s="366">
        <f>(('Methane Leakage'!$G$6/'Methane Leakage'!$G$5)*102*'Emissions Factors'!$F$10*'Calcs - Power'!$B39+'Emissions Factors'!$F$11*('Calcs - Power'!$C39+'Calcs - Power'!$D39+'Calcs - Power'!$E39+'Calcs - Power'!$F39))</f>
        <v>37201568.809589311</v>
      </c>
      <c r="BA40" s="359">
        <f>(102*'Emissions Factors'!$G$10*'Calcs - Power'!$G39+'Emissions Factors'!$G$11*('Calcs - Power'!H39+'Calcs - Power'!I39+'Calcs - Power'!J39+'Calcs - Power'!K39))</f>
        <v>1897515.5161887372</v>
      </c>
      <c r="BB40" s="366">
        <f>(102*'Emissions Factors'!$G$10*'Calcs - Power'!$B39+'Emissions Factors'!$G$11*('Calcs - Power'!C39+'Calcs - Power'!D39+'Calcs - Power'!E39+'Calcs - Power'!F39))</f>
        <v>29313646.459592484</v>
      </c>
      <c r="BC40" s="359">
        <f>(102*'Emissions Factors'!$F$10*'Calcs - Power'!$G39+'Emissions Factors'!$F$11*('Calcs - Power'!$H39+'Calcs - Power'!$I39+'Calcs - Power'!$J39+'Calcs - Power'!$K39))</f>
        <v>2276996.7149068569</v>
      </c>
      <c r="BD40" s="366">
        <f>(102*'Emissions Factors'!$F$10*'Calcs - Power'!$B39+'Emissions Factors'!$F$11*('Calcs - Power'!$C39+'Calcs - Power'!$D39+'Calcs - Power'!$E39+'Calcs - Power'!$F39))</f>
        <v>37201568.809589311</v>
      </c>
      <c r="BE40" s="359">
        <f>(102*'Emissions Factors'!$G$10*'Calcs - Power'!$G39+'Emissions Factors'!$G$11*('Calcs - Power'!H39+'Calcs - Power'!I39+'Calcs - Power'!J39+'Calcs - Power'!K39))</f>
        <v>1897515.5161887372</v>
      </c>
      <c r="BF40" s="366">
        <f>(102*'Emissions Factors'!$G$10*'Calcs - Power'!$B39+'Emissions Factors'!$G$11*('Calcs - Power'!C39+'Calcs - Power'!D39+'Calcs - Power'!E39+'Calcs - Power'!F39))</f>
        <v>29313646.459592484</v>
      </c>
    </row>
    <row r="41" spans="1:58" x14ac:dyDescent="0.3">
      <c r="A41" s="351">
        <f t="shared" si="10"/>
        <v>29</v>
      </c>
      <c r="B41" s="352">
        <f t="shared" si="0"/>
        <v>0.99999999999999989</v>
      </c>
      <c r="C41" s="363">
        <f t="shared" si="1"/>
        <v>1</v>
      </c>
      <c r="D41" s="352">
        <f t="shared" si="2"/>
        <v>1</v>
      </c>
      <c r="E41" s="364">
        <f t="shared" si="3"/>
        <v>1</v>
      </c>
      <c r="F41" s="364">
        <f t="shared" si="4"/>
        <v>1</v>
      </c>
      <c r="G41" s="365">
        <f t="shared" si="5"/>
        <v>1</v>
      </c>
      <c r="P41" s="358">
        <f t="shared" si="11"/>
        <v>29</v>
      </c>
      <c r="Q41" s="359">
        <f>(('Methane Leakage'!$C$6/'Methane Leakage'!$C$5)*102*'Emissions Factors'!$C$38*'Calcs - Power'!$G40+'Emissions Factors'!$C$37*('Calcs - Power'!$H40+'Calcs - Power'!$I40+'Calcs - Power'!$J40+'Calcs - Power'!$K40))</f>
        <v>12402.893845573539</v>
      </c>
      <c r="R41" s="366">
        <f>(('Methane Leakage'!$C$6/'Methane Leakage'!$C$5)*102*'Emissions Factors'!$C$38*'Calcs - Power'!$B40+'Emissions Factors'!$C$37*('Calcs - Power'!$C40+'Calcs - Power'!$D40+'Calcs - Power'!$E40+'Calcs - Power'!$F40))</f>
        <v>210658.53839906846</v>
      </c>
      <c r="S41" s="359">
        <f>(('Methane Leakage'!$C$6/'Methane Leakage'!$C$5)*102*'Emissions Factors'!$D$38*'Calcs - Power'!$G40+'Emissions Factors'!$D$37*('Calcs - Power'!$H40+'Calcs - Power'!$I40+'Calcs - Power'!$J40+'Calcs - Power'!$K40))</f>
        <v>12402.893845573539</v>
      </c>
      <c r="T41" s="366">
        <f>(('Methane Leakage'!$C$6/'Methane Leakage'!$C$5)*102*'Emissions Factors'!$D$38*'Calcs - Power'!$B40+'Emissions Factors'!$D$37*('Calcs - Power'!$C40+'Calcs - Power'!$D40+'Calcs - Power'!$E40+'Calcs - Power'!$F40))</f>
        <v>210658.53839906846</v>
      </c>
      <c r="U41" s="361">
        <f>(102*'Emissions Factors'!$C$36*'Calcs - Power'!$G40+'Emissions Factors'!$C$35*('Calcs - Power'!$H40+'Calcs - Power'!$I40+'Calcs - Power'!$J40+'Calcs - Power'!$K40))</f>
        <v>18811.767521879323</v>
      </c>
      <c r="V41" s="366">
        <f>(102*'Emissions Factors'!$C$36*'Calcs - Power'!$B40+'Emissions Factors'!$C$35*('Calcs - Power'!$C40+'Calcs - Power'!$D40+'Calcs - Power'!$E40+'Calcs - Power'!$F40))</f>
        <v>300604.68438938761</v>
      </c>
      <c r="W41" s="359">
        <f>(102*'Emissions Factors'!$D$36*'Calcs - Power'!$G40+'Emissions Factors'!$D$35*('Calcs - Power'!$H40+'Calcs - Power'!$I40+'Calcs - Power'!$J40+'Calcs - Power'!$K40))</f>
        <v>18811.767521879323</v>
      </c>
      <c r="X41" s="366">
        <f>(102*'Emissions Factors'!$D$36*'Calcs - Power'!$B40+'Emissions Factors'!$D$35*('Calcs - Power'!$C40+'Calcs - Power'!$D40+'Calcs - Power'!$E40+'Calcs - Power'!$F40))</f>
        <v>300604.68438938761</v>
      </c>
      <c r="Y41" s="359">
        <f>(102*'Emissions Factors'!$C$38*'Calcs - Power'!$G40+'Emissions Factors'!$C$37*('Calcs - Power'!$H40+'Calcs - Power'!$I40+'Calcs - Power'!$J40+'Calcs - Power'!$K40))</f>
        <v>12402.893845573539</v>
      </c>
      <c r="Z41" s="366">
        <f>(102*'Emissions Factors'!$C$38*'Calcs - Power'!$B40+'Emissions Factors'!$C$37*('Calcs - Power'!$C40+'Calcs - Power'!$D40+'Calcs - Power'!$E40+'Calcs - Power'!$F40))</f>
        <v>210658.53839906846</v>
      </c>
      <c r="AA41" s="359">
        <f>(102*'Emissions Factors'!$C$36*'Calcs - Power'!$G40+'Emissions Factors'!$C$35*('Calcs - Power'!$H40+'Calcs - Power'!$I40+'Calcs - Power'!$J40+'Calcs - Power'!$K40))</f>
        <v>18811.767521879323</v>
      </c>
      <c r="AB41" s="366">
        <f>(102*'Emissions Factors'!$C$36*'Calcs - Power'!$B40+'Emissions Factors'!$C$35*('Calcs - Power'!$C40+'Calcs - Power'!$D40+'Calcs - Power'!$E40+'Calcs - Power'!$F40))</f>
        <v>300604.68438938761</v>
      </c>
      <c r="AI41" s="358">
        <f t="shared" si="12"/>
        <v>29</v>
      </c>
      <c r="AJ41" s="359">
        <f>(('Methane Leakage'!$G$6/'Methane Leakage'!$G$5)*102*'Emissions Factors'!$D$10*'Calcs - Power'!$G40+'Emissions Factors'!$D$11*('Calcs - Power'!$H40+'Calcs - Power'!$I40+'Calcs - Power'!$J40+'Calcs - Power'!$K40))</f>
        <v>1808.728765157447</v>
      </c>
      <c r="AK41" s="366">
        <f>(('Methane Leakage'!$G$6/'Methane Leakage'!$G$5)*102*'Emissions Factors'!$D$10*'Calcs - Power'!$B40+'Emissions Factors'!$D$11*('Calcs - Power'!$C40+'Calcs - Power'!$D40+'Calcs - Power'!$E40+'Calcs - Power'!$F40))</f>
        <v>31240.652997560945</v>
      </c>
      <c r="AL41" s="359">
        <f>(102*'Emissions Factors'!$E$10*'Calcs - Power'!$G40+'Emissions Factors'!$E$11*('Calcs - Power'!H40+'Calcs - Power'!I40+'Calcs - Power'!J40+'Calcs - Power'!K40))</f>
        <v>1701.9906415442199</v>
      </c>
      <c r="AM41" s="366">
        <f>(102*'Emissions Factors'!$E$10*'Calcs - Power'!$B40+'Emissions Factors'!$E$11*('Calcs - Power'!C40+'Calcs - Power'!D40+'Calcs - Power'!E40+'Calcs - Power'!F40))</f>
        <v>27355.514933030281</v>
      </c>
      <c r="AN41" s="359">
        <f>(102*'Emissions Factors'!$D$10*'Calcs - Power'!$G40+'Emissions Factors'!$D$11*('Calcs - Power'!$H40+'Calcs - Power'!$I40+'Calcs - Power'!$J40+'Calcs - Power'!$K40))</f>
        <v>1808.728765157447</v>
      </c>
      <c r="AO41" s="366">
        <f>(102*'Emissions Factors'!$D$10*'Calcs - Power'!$B40+'Emissions Factors'!$D$11*('Calcs - Power'!$C40+'Calcs - Power'!$D40+'Calcs - Power'!$E40+'Calcs - Power'!$F40))</f>
        <v>31240.652997560945</v>
      </c>
      <c r="AP41" s="367">
        <f>(102*'Emissions Factors'!$E$10*'Calcs - Power'!$G40+'Emissions Factors'!$E$11*('Calcs - Power'!H40+'Calcs - Power'!I40+'Calcs - Power'!J40+'Calcs - Power'!K40))</f>
        <v>1701.9906415442199</v>
      </c>
      <c r="AQ41" s="366">
        <f>(102*'Emissions Factors'!$E$10*'Calcs - Power'!$B40+'Emissions Factors'!$E$11*('Calcs - Power'!C40+'Calcs - Power'!D40+'Calcs - Power'!E40+'Calcs - Power'!F40))</f>
        <v>27355.514933030281</v>
      </c>
      <c r="AS41" s="357"/>
      <c r="AT41" s="357"/>
      <c r="AU41" s="357"/>
      <c r="AV41" s="357"/>
      <c r="AX41" s="358">
        <f t="shared" si="13"/>
        <v>29</v>
      </c>
      <c r="AY41" s="359">
        <f>(('Methane Leakage'!$G$6/'Methane Leakage'!$G$5)*102*'Emissions Factors'!$F$10*'Calcs - Power'!$G40+'Emissions Factors'!$F$11*('Calcs - Power'!$H40+'Calcs - Power'!$I40+'Calcs - Power'!$J40+'Calcs - Power'!$K40))</f>
        <v>2328560.157238395</v>
      </c>
      <c r="AZ41" s="366">
        <f>(('Methane Leakage'!$G$6/'Methane Leakage'!$G$5)*102*'Emissions Factors'!$F$10*'Calcs - Power'!$B40+'Emissions Factors'!$F$11*('Calcs - Power'!$C40+'Calcs - Power'!$D40+'Calcs - Power'!$E40+'Calcs - Power'!$F40))</f>
        <v>39504426.011520728</v>
      </c>
      <c r="BA41" s="359">
        <f>(102*'Emissions Factors'!$G$10*'Calcs - Power'!$G40+'Emissions Factors'!$G$11*('Calcs - Power'!H40+'Calcs - Power'!I40+'Calcs - Power'!J40+'Calcs - Power'!K40))</f>
        <v>1949377.7131916627</v>
      </c>
      <c r="BB41" s="366">
        <f>(102*'Emissions Factors'!$G$10*'Calcs - Power'!$B40+'Emissions Factors'!$G$11*('Calcs - Power'!C40+'Calcs - Power'!D40+'Calcs - Power'!E40+'Calcs - Power'!F40))</f>
        <v>31237142.884346128</v>
      </c>
      <c r="BC41" s="359">
        <f>(102*'Emissions Factors'!$F$10*'Calcs - Power'!$G40+'Emissions Factors'!$F$11*('Calcs - Power'!$H40+'Calcs - Power'!$I40+'Calcs - Power'!$J40+'Calcs - Power'!$K40))</f>
        <v>2328560.157238395</v>
      </c>
      <c r="BD41" s="366">
        <f>(102*'Emissions Factors'!$F$10*'Calcs - Power'!$B40+'Emissions Factors'!$F$11*('Calcs - Power'!$C40+'Calcs - Power'!$D40+'Calcs - Power'!$E40+'Calcs - Power'!$F40))</f>
        <v>39504426.011520728</v>
      </c>
      <c r="BE41" s="359">
        <f>(102*'Emissions Factors'!$G$10*'Calcs - Power'!$G40+'Emissions Factors'!$G$11*('Calcs - Power'!H40+'Calcs - Power'!I40+'Calcs - Power'!J40+'Calcs - Power'!K40))</f>
        <v>1949377.7131916627</v>
      </c>
      <c r="BF41" s="366">
        <f>(102*'Emissions Factors'!$G$10*'Calcs - Power'!$B40+'Emissions Factors'!$G$11*('Calcs - Power'!C40+'Calcs - Power'!D40+'Calcs - Power'!E40+'Calcs - Power'!F40))</f>
        <v>31237142.884346128</v>
      </c>
    </row>
    <row r="42" spans="1:58" x14ac:dyDescent="0.3">
      <c r="A42" s="351">
        <f t="shared" si="10"/>
        <v>30</v>
      </c>
      <c r="B42" s="352">
        <f t="shared" si="0"/>
        <v>1</v>
      </c>
      <c r="C42" s="363">
        <f t="shared" si="1"/>
        <v>1</v>
      </c>
      <c r="D42" s="352">
        <f t="shared" si="2"/>
        <v>1</v>
      </c>
      <c r="E42" s="364">
        <f t="shared" si="3"/>
        <v>1</v>
      </c>
      <c r="F42" s="364">
        <f t="shared" si="4"/>
        <v>1</v>
      </c>
      <c r="G42" s="365">
        <f t="shared" si="5"/>
        <v>1</v>
      </c>
      <c r="P42" s="358">
        <f t="shared" si="11"/>
        <v>30</v>
      </c>
      <c r="Q42" s="359">
        <f>(('Methane Leakage'!$C$6/'Methane Leakage'!$C$5)*102*'Emissions Factors'!$C$38*'Calcs - Power'!$G41+'Emissions Factors'!$C$37*('Calcs - Power'!$H41+'Calcs - Power'!$I41+'Calcs - Power'!$J41+'Calcs - Power'!$K41))</f>
        <v>12671.494596233166</v>
      </c>
      <c r="R42" s="366">
        <f>(('Methane Leakage'!$C$6/'Methane Leakage'!$C$5)*102*'Emissions Factors'!$C$38*'Calcs - Power'!$B41+'Emissions Factors'!$C$37*('Calcs - Power'!$C41+'Calcs - Power'!$D41+'Calcs - Power'!$E41+'Calcs - Power'!$F41))</f>
        <v>223196.12855899436</v>
      </c>
      <c r="S42" s="359">
        <f>(('Methane Leakage'!$C$6/'Methane Leakage'!$C$5)*102*'Emissions Factors'!$D$38*'Calcs - Power'!$G41+'Emissions Factors'!$D$37*('Calcs - Power'!$H41+'Calcs - Power'!$I41+'Calcs - Power'!$J41+'Calcs - Power'!$K41))</f>
        <v>12671.494596233166</v>
      </c>
      <c r="T42" s="366">
        <f>(('Methane Leakage'!$C$6/'Methane Leakage'!$C$5)*102*'Emissions Factors'!$D$38*'Calcs - Power'!$B41+'Emissions Factors'!$D$37*('Calcs - Power'!$C41+'Calcs - Power'!$D41+'Calcs - Power'!$E41+'Calcs - Power'!$F41))</f>
        <v>223196.12855899436</v>
      </c>
      <c r="U42" s="361">
        <f>(102*'Emissions Factors'!$C$36*'Calcs - Power'!$G41+'Emissions Factors'!$C$35*('Calcs - Power'!$H41+'Calcs - Power'!$I41+'Calcs - Power'!$J41+'Calcs - Power'!$K41))</f>
        <v>19310.667875958137</v>
      </c>
      <c r="V42" s="366">
        <f>(102*'Emissions Factors'!$C$36*'Calcs - Power'!$B41+'Emissions Factors'!$C$35*('Calcs - Power'!$C41+'Calcs - Power'!$D41+'Calcs - Power'!$E41+'Calcs - Power'!$F41))</f>
        <v>319666.35393525363</v>
      </c>
      <c r="W42" s="359">
        <f>(102*'Emissions Factors'!$D$36*'Calcs - Power'!$G41+'Emissions Factors'!$D$35*('Calcs - Power'!$H41+'Calcs - Power'!$I41+'Calcs - Power'!$J41+'Calcs - Power'!$K41))</f>
        <v>19310.667875958137</v>
      </c>
      <c r="X42" s="366">
        <f>(102*'Emissions Factors'!$D$36*'Calcs - Power'!$B41+'Emissions Factors'!$D$35*('Calcs - Power'!$C41+'Calcs - Power'!$D41+'Calcs - Power'!$E41+'Calcs - Power'!$F41))</f>
        <v>319666.35393525363</v>
      </c>
      <c r="Y42" s="359">
        <f>(102*'Emissions Factors'!$C$38*'Calcs - Power'!$G41+'Emissions Factors'!$C$37*('Calcs - Power'!$H41+'Calcs - Power'!$I41+'Calcs - Power'!$J41+'Calcs - Power'!$K41))</f>
        <v>12671.494596233166</v>
      </c>
      <c r="Z42" s="366">
        <f>(102*'Emissions Factors'!$C$38*'Calcs - Power'!$B41+'Emissions Factors'!$C$37*('Calcs - Power'!$C41+'Calcs - Power'!$D41+'Calcs - Power'!$E41+'Calcs - Power'!$F41))</f>
        <v>223196.12855899436</v>
      </c>
      <c r="AA42" s="359">
        <f>(102*'Emissions Factors'!$C$36*'Calcs - Power'!$G41+'Emissions Factors'!$C$35*('Calcs - Power'!$H41+'Calcs - Power'!$I41+'Calcs - Power'!$J41+'Calcs - Power'!$K41))</f>
        <v>19310.667875958137</v>
      </c>
      <c r="AB42" s="366">
        <f>(102*'Emissions Factors'!$C$36*'Calcs - Power'!$B41+'Emissions Factors'!$C$35*('Calcs - Power'!$C41+'Calcs - Power'!$D41+'Calcs - Power'!$E41+'Calcs - Power'!$F41))</f>
        <v>319666.35393525363</v>
      </c>
      <c r="AI42" s="358">
        <f t="shared" si="12"/>
        <v>30</v>
      </c>
      <c r="AJ42" s="359">
        <f>(('Methane Leakage'!$G$6/'Methane Leakage'!$G$5)*102*'Emissions Factors'!$D$10*'Calcs - Power'!$G41+'Emissions Factors'!$D$11*('Calcs - Power'!$H41+'Calcs - Power'!$I41+'Calcs - Power'!$J41+'Calcs - Power'!$K41))</f>
        <v>1845.3819720549227</v>
      </c>
      <c r="AK42" s="366">
        <f>(('Methane Leakage'!$G$6/'Methane Leakage'!$G$5)*102*'Emissions Factors'!$D$10*'Calcs - Power'!$B41+'Emissions Factors'!$D$11*('Calcs - Power'!$C41+'Calcs - Power'!$D41+'Calcs - Power'!$E41+'Calcs - Power'!$F41))</f>
        <v>33067.770196376528</v>
      </c>
      <c r="AL42" s="359">
        <f>(102*'Emissions Factors'!$E$10*'Calcs - Power'!$G41+'Emissions Factors'!$E$11*('Calcs - Power'!H41+'Calcs - Power'!I41+'Calcs - Power'!J41+'Calcs - Power'!K41))</f>
        <v>1746.3620215999995</v>
      </c>
      <c r="AM42" s="366">
        <f>(102*'Emissions Factors'!$E$10*'Calcs - Power'!$B41+'Emissions Factors'!$E$11*('Calcs - Power'!C41+'Calcs - Power'!D41+'Calcs - Power'!E41+'Calcs - Power'!F41))</f>
        <v>29079.7333908254</v>
      </c>
      <c r="AN42" s="359">
        <f>(102*'Emissions Factors'!$D$10*'Calcs - Power'!$G41+'Emissions Factors'!$D$11*('Calcs - Power'!$H41+'Calcs - Power'!$I41+'Calcs - Power'!$J41+'Calcs - Power'!$K41))</f>
        <v>1845.3819720549227</v>
      </c>
      <c r="AO42" s="366">
        <f>(102*'Emissions Factors'!$D$10*'Calcs - Power'!$B41+'Emissions Factors'!$D$11*('Calcs - Power'!$C41+'Calcs - Power'!$D41+'Calcs - Power'!$E41+'Calcs - Power'!$F41))</f>
        <v>33067.770196376528</v>
      </c>
      <c r="AP42" s="367">
        <f>(102*'Emissions Factors'!$E$10*'Calcs - Power'!$G41+'Emissions Factors'!$E$11*('Calcs - Power'!H41+'Calcs - Power'!I41+'Calcs - Power'!J41+'Calcs - Power'!K41))</f>
        <v>1746.3620215999995</v>
      </c>
      <c r="AQ42" s="366">
        <f>(102*'Emissions Factors'!$E$10*'Calcs - Power'!$B41+'Emissions Factors'!$E$11*('Calcs - Power'!C41+'Calcs - Power'!D41+'Calcs - Power'!E41+'Calcs - Power'!F41))</f>
        <v>29079.7333908254</v>
      </c>
      <c r="AS42" s="357"/>
      <c r="AT42" s="357"/>
      <c r="AU42" s="357"/>
      <c r="AV42" s="357"/>
      <c r="AX42" s="358">
        <f t="shared" si="13"/>
        <v>30</v>
      </c>
      <c r="AY42" s="359">
        <f>(('Methane Leakage'!$G$6/'Methane Leakage'!$G$5)*102*'Emissions Factors'!$F$10*'Calcs - Power'!$G41+'Emissions Factors'!$F$11*('Calcs - Power'!$H41+'Calcs - Power'!$I41+'Calcs - Power'!$J41+'Calcs - Power'!$K41))</f>
        <v>2379207.4121340178</v>
      </c>
      <c r="AZ42" s="366">
        <f>(('Methane Leakage'!$G$6/'Methane Leakage'!$G$5)*102*'Emissions Factors'!$F$10*'Calcs - Power'!$B41+'Emissions Factors'!$F$11*('Calcs - Power'!$C41+'Calcs - Power'!$D41+'Calcs - Power'!$E41+'Calcs - Power'!$F41))</f>
        <v>41858383.774835929</v>
      </c>
      <c r="BA42" s="359">
        <f>(102*'Emissions Factors'!$G$10*'Calcs - Power'!$G41+'Emissions Factors'!$G$11*('Calcs - Power'!H41+'Calcs - Power'!I41+'Calcs - Power'!J41+'Calcs - Power'!K41))</f>
        <v>2000656.1242961986</v>
      </c>
      <c r="BB42" s="366">
        <f>(102*'Emissions Factors'!$G$10*'Calcs - Power'!$B41+'Emissions Factors'!$G$11*('Calcs - Power'!C41+'Calcs - Power'!D41+'Calcs - Power'!E41+'Calcs - Power'!F41))</f>
        <v>33212207.30893911</v>
      </c>
      <c r="BC42" s="359">
        <f>(102*'Emissions Factors'!$F$10*'Calcs - Power'!$G41+'Emissions Factors'!$F$11*('Calcs - Power'!$H41+'Calcs - Power'!$I41+'Calcs - Power'!$J41+'Calcs - Power'!$K41))</f>
        <v>2379207.4121340178</v>
      </c>
      <c r="BD42" s="366">
        <f>(102*'Emissions Factors'!$F$10*'Calcs - Power'!$B41+'Emissions Factors'!$F$11*('Calcs - Power'!$C41+'Calcs - Power'!$D41+'Calcs - Power'!$E41+'Calcs - Power'!$F41))</f>
        <v>41858383.774835929</v>
      </c>
      <c r="BE42" s="359">
        <f>(102*'Emissions Factors'!$G$10*'Calcs - Power'!$G41+'Emissions Factors'!$G$11*('Calcs - Power'!H41+'Calcs - Power'!I41+'Calcs - Power'!J41+'Calcs - Power'!K41))</f>
        <v>2000656.1242961986</v>
      </c>
      <c r="BF42" s="366">
        <f>(102*'Emissions Factors'!$G$10*'Calcs - Power'!$B41+'Emissions Factors'!$G$11*('Calcs - Power'!C41+'Calcs - Power'!D41+'Calcs - Power'!E41+'Calcs - Power'!F41))</f>
        <v>33212207.30893911</v>
      </c>
    </row>
    <row r="43" spans="1:58" x14ac:dyDescent="0.3">
      <c r="A43" s="351">
        <f t="shared" si="10"/>
        <v>31</v>
      </c>
      <c r="B43" s="352">
        <f t="shared" si="0"/>
        <v>0.99999999999999989</v>
      </c>
      <c r="C43" s="363">
        <f t="shared" si="1"/>
        <v>0.99999999999999989</v>
      </c>
      <c r="D43" s="352">
        <f t="shared" si="2"/>
        <v>1</v>
      </c>
      <c r="E43" s="364">
        <f t="shared" si="3"/>
        <v>1</v>
      </c>
      <c r="F43" s="364">
        <f t="shared" si="4"/>
        <v>1</v>
      </c>
      <c r="G43" s="365">
        <f t="shared" si="5"/>
        <v>1</v>
      </c>
      <c r="P43" s="358">
        <f t="shared" si="11"/>
        <v>31</v>
      </c>
      <c r="Q43" s="359">
        <f>(('Methane Leakage'!$C$6/'Methane Leakage'!$C$5)*102*'Emissions Factors'!$C$38*'Calcs - Power'!$G42+'Emissions Factors'!$C$37*('Calcs - Power'!$H42+'Calcs - Power'!$I42+'Calcs - Power'!$J42+'Calcs - Power'!$K42))</f>
        <v>12935.488941340342</v>
      </c>
      <c r="R43" s="366">
        <f>(('Methane Leakage'!$C$6/'Methane Leakage'!$C$5)*102*'Emissions Factors'!$C$38*'Calcs - Power'!$B42+'Emissions Factors'!$C$37*('Calcs - Power'!$C42+'Calcs - Power'!$D42+'Calcs - Power'!$E42+'Calcs - Power'!$F42))</f>
        <v>235999.99235543027</v>
      </c>
      <c r="S43" s="359">
        <f>(('Methane Leakage'!$C$6/'Methane Leakage'!$C$5)*102*'Emissions Factors'!$D$38*'Calcs - Power'!$G42+'Emissions Factors'!$D$37*('Calcs - Power'!$H42+'Calcs - Power'!$I42+'Calcs - Power'!$J42+'Calcs - Power'!$K42))</f>
        <v>12935.488941340342</v>
      </c>
      <c r="T43" s="366">
        <f>(('Methane Leakage'!$C$6/'Methane Leakage'!$C$5)*102*'Emissions Factors'!$D$38*'Calcs - Power'!$B42+'Emissions Factors'!$D$37*('Calcs - Power'!$C42+'Calcs - Power'!$D42+'Calcs - Power'!$E42+'Calcs - Power'!$F42))</f>
        <v>235999.99235543027</v>
      </c>
      <c r="U43" s="361">
        <f>(102*'Emissions Factors'!$C$36*'Calcs - Power'!$G42+'Emissions Factors'!$C$35*('Calcs - Power'!$H42+'Calcs - Power'!$I42+'Calcs - Power'!$J42+'Calcs - Power'!$K42))</f>
        <v>19804.268475817735</v>
      </c>
      <c r="V43" s="366">
        <f>(102*'Emissions Factors'!$C$36*'Calcs - Power'!$B42+'Emissions Factors'!$C$35*('Calcs - Power'!$C42+'Calcs - Power'!$D42+'Calcs - Power'!$E42+'Calcs - Power'!$F42))</f>
        <v>339224.25371333264</v>
      </c>
      <c r="W43" s="359">
        <f>(102*'Emissions Factors'!$D$36*'Calcs - Power'!$G42+'Emissions Factors'!$D$35*('Calcs - Power'!$H42+'Calcs - Power'!$I42+'Calcs - Power'!$J42+'Calcs - Power'!$K42))</f>
        <v>19804.268475817735</v>
      </c>
      <c r="X43" s="366">
        <f>(102*'Emissions Factors'!$D$36*'Calcs - Power'!$B42+'Emissions Factors'!$D$35*('Calcs - Power'!$C42+'Calcs - Power'!$D42+'Calcs - Power'!$E42+'Calcs - Power'!$F42))</f>
        <v>339224.25371333264</v>
      </c>
      <c r="Y43" s="359">
        <f>(102*'Emissions Factors'!$C$38*'Calcs - Power'!$G42+'Emissions Factors'!$C$37*('Calcs - Power'!$H42+'Calcs - Power'!$I42+'Calcs - Power'!$J42+'Calcs - Power'!$K42))</f>
        <v>12935.488941340342</v>
      </c>
      <c r="Z43" s="366">
        <f>(102*'Emissions Factors'!$C$38*'Calcs - Power'!$B42+'Emissions Factors'!$C$37*('Calcs - Power'!$C42+'Calcs - Power'!$D42+'Calcs - Power'!$E42+'Calcs - Power'!$F42))</f>
        <v>235999.99235543027</v>
      </c>
      <c r="AA43" s="359">
        <f>(102*'Emissions Factors'!$C$36*'Calcs - Power'!$G42+'Emissions Factors'!$C$35*('Calcs - Power'!$H42+'Calcs - Power'!$I42+'Calcs - Power'!$J42+'Calcs - Power'!$K42))</f>
        <v>19804.268475817735</v>
      </c>
      <c r="AB43" s="366">
        <f>(102*'Emissions Factors'!$C$36*'Calcs - Power'!$B42+'Emissions Factors'!$C$35*('Calcs - Power'!$C42+'Calcs - Power'!$D42+'Calcs - Power'!$E42+'Calcs - Power'!$F42))</f>
        <v>339224.25371333264</v>
      </c>
      <c r="AI43" s="358">
        <f t="shared" si="12"/>
        <v>31</v>
      </c>
      <c r="AJ43" s="359">
        <f>(('Methane Leakage'!$G$6/'Methane Leakage'!$G$5)*102*'Emissions Factors'!$D$10*'Calcs - Power'!$G42+'Emissions Factors'!$D$11*('Calcs - Power'!$H42+'Calcs - Power'!$I42+'Calcs - Power'!$J42+'Calcs - Power'!$K42))</f>
        <v>1881.3170186609755</v>
      </c>
      <c r="AK43" s="366">
        <f>(('Methane Leakage'!$G$6/'Methane Leakage'!$G$5)*102*'Emissions Factors'!$D$10*'Calcs - Power'!$B42+'Emissions Factors'!$D$11*('Calcs - Power'!$C42+'Calcs - Power'!$D42+'Calcs - Power'!$E42+'Calcs - Power'!$F42))</f>
        <v>34931.177594184359</v>
      </c>
      <c r="AL43" s="359">
        <f>(102*'Emissions Factors'!$E$10*'Calcs - Power'!$G42+'Emissions Factors'!$E$11*('Calcs - Power'!H42+'Calcs - Power'!I42+'Calcs - Power'!J42+'Calcs - Power'!K42))</f>
        <v>1790.239777032589</v>
      </c>
      <c r="AM43" s="366">
        <f>(102*'Emissions Factors'!$E$10*'Calcs - Power'!$B42+'Emissions Factors'!$E$11*('Calcs - Power'!C42+'Calcs - Power'!D42+'Calcs - Power'!E42+'Calcs - Power'!F42))</f>
        <v>30848.074450512438</v>
      </c>
      <c r="AN43" s="359">
        <f>(102*'Emissions Factors'!$D$10*'Calcs - Power'!$G42+'Emissions Factors'!$D$11*('Calcs - Power'!$H42+'Calcs - Power'!$I42+'Calcs - Power'!$J42+'Calcs - Power'!$K42))</f>
        <v>1881.3170186609755</v>
      </c>
      <c r="AO43" s="366">
        <f>(102*'Emissions Factors'!$D$10*'Calcs - Power'!$B42+'Emissions Factors'!$D$11*('Calcs - Power'!$C42+'Calcs - Power'!$D42+'Calcs - Power'!$E42+'Calcs - Power'!$F42))</f>
        <v>34931.177594184359</v>
      </c>
      <c r="AP43" s="367">
        <f>(102*'Emissions Factors'!$E$10*'Calcs - Power'!$G42+'Emissions Factors'!$E$11*('Calcs - Power'!H42+'Calcs - Power'!I42+'Calcs - Power'!J42+'Calcs - Power'!K42))</f>
        <v>1790.239777032589</v>
      </c>
      <c r="AQ43" s="366">
        <f>(102*'Emissions Factors'!$E$10*'Calcs - Power'!$B42+'Emissions Factors'!$E$11*('Calcs - Power'!C42+'Calcs - Power'!D42+'Calcs - Power'!E42+'Calcs - Power'!F42))</f>
        <v>30848.074450512438</v>
      </c>
      <c r="AS43" s="357"/>
      <c r="AT43" s="357"/>
      <c r="AU43" s="357"/>
      <c r="AV43" s="357"/>
      <c r="AX43" s="358">
        <f t="shared" si="13"/>
        <v>31</v>
      </c>
      <c r="AY43" s="359">
        <f>(('Methane Leakage'!$G$6/'Methane Leakage'!$G$5)*102*'Emissions Factors'!$F$10*'Calcs - Power'!$G42+'Emissions Factors'!$F$11*('Calcs - Power'!$H42+'Calcs - Power'!$I42+'Calcs - Power'!$J42+'Calcs - Power'!$K42))</f>
        <v>2428993.8873219006</v>
      </c>
      <c r="AZ43" s="366">
        <f>(('Methane Leakage'!$G$6/'Methane Leakage'!$G$5)*102*'Emissions Factors'!$F$10*'Calcs - Power'!$B42+'Emissions Factors'!$F$11*('Calcs - Power'!$C42+'Calcs - Power'!$D42+'Calcs - Power'!$E42+'Calcs - Power'!$F42))</f>
        <v>44262553.952384472</v>
      </c>
      <c r="BA43" s="359">
        <f>(102*'Emissions Factors'!$G$10*'Calcs - Power'!$G42+'Emissions Factors'!$G$11*('Calcs - Power'!H42+'Calcs - Power'!I42+'Calcs - Power'!J42+'Calcs - Power'!K42))</f>
        <v>2051377.5969182788</v>
      </c>
      <c r="BB43" s="366">
        <f>(102*'Emissions Factors'!$G$10*'Calcs - Power'!$B42+'Emissions Factors'!$G$11*('Calcs - Power'!C42+'Calcs - Power'!D42+'Calcs - Power'!E42+'Calcs - Power'!F42))</f>
        <v>35238269.503922075</v>
      </c>
      <c r="BC43" s="359">
        <f>(102*'Emissions Factors'!$F$10*'Calcs - Power'!$G42+'Emissions Factors'!$F$11*('Calcs - Power'!$H42+'Calcs - Power'!$I42+'Calcs - Power'!$J42+'Calcs - Power'!$K42))</f>
        <v>2428993.8873219006</v>
      </c>
      <c r="BD43" s="366">
        <f>(102*'Emissions Factors'!$F$10*'Calcs - Power'!$B42+'Emissions Factors'!$F$11*('Calcs - Power'!$C42+'Calcs - Power'!$D42+'Calcs - Power'!$E42+'Calcs - Power'!$F42))</f>
        <v>44262553.952384472</v>
      </c>
      <c r="BE43" s="359">
        <f>(102*'Emissions Factors'!$G$10*'Calcs - Power'!$G42+'Emissions Factors'!$G$11*('Calcs - Power'!H42+'Calcs - Power'!I42+'Calcs - Power'!J42+'Calcs - Power'!K42))</f>
        <v>2051377.5969182788</v>
      </c>
      <c r="BF43" s="366">
        <f>(102*'Emissions Factors'!$G$10*'Calcs - Power'!$B42+'Emissions Factors'!$G$11*('Calcs - Power'!C42+'Calcs - Power'!D42+'Calcs - Power'!E42+'Calcs - Power'!F42))</f>
        <v>35238269.503922075</v>
      </c>
    </row>
    <row r="44" spans="1:58" x14ac:dyDescent="0.3">
      <c r="A44" s="351">
        <f t="shared" si="10"/>
        <v>32</v>
      </c>
      <c r="B44" s="352">
        <f t="shared" si="0"/>
        <v>1</v>
      </c>
      <c r="C44" s="363">
        <f t="shared" si="1"/>
        <v>0.99999999999999989</v>
      </c>
      <c r="D44" s="352">
        <f t="shared" si="2"/>
        <v>1</v>
      </c>
      <c r="E44" s="364">
        <f t="shared" si="3"/>
        <v>1</v>
      </c>
      <c r="F44" s="364">
        <f t="shared" si="4"/>
        <v>1</v>
      </c>
      <c r="G44" s="365">
        <f t="shared" si="5"/>
        <v>1</v>
      </c>
      <c r="P44" s="358">
        <f t="shared" si="11"/>
        <v>32</v>
      </c>
      <c r="Q44" s="359">
        <f>(('Methane Leakage'!$C$6/'Methane Leakage'!$C$5)*102*'Emissions Factors'!$C$38*'Calcs - Power'!$G43+'Emissions Factors'!$C$37*('Calcs - Power'!$H43+'Calcs - Power'!$I43+'Calcs - Power'!$J43+'Calcs - Power'!$K43))</f>
        <v>13195.153643823811</v>
      </c>
      <c r="R44" s="366">
        <f>(('Methane Leakage'!$C$6/'Methane Leakage'!$C$5)*102*'Emissions Factors'!$C$38*'Calcs - Power'!$B43+'Emissions Factors'!$C$37*('Calcs - Power'!$C43+'Calcs - Power'!$D43+'Calcs - Power'!$E43+'Calcs - Power'!$F43))</f>
        <v>249065.66344283975</v>
      </c>
      <c r="S44" s="359">
        <f>(('Methane Leakage'!$C$6/'Methane Leakage'!$C$5)*102*'Emissions Factors'!$D$38*'Calcs - Power'!$G43+'Emissions Factors'!$D$37*('Calcs - Power'!$H43+'Calcs - Power'!$I43+'Calcs - Power'!$J43+'Calcs - Power'!$K43))</f>
        <v>13195.153643823811</v>
      </c>
      <c r="T44" s="366">
        <f>(('Methane Leakage'!$C$6/'Methane Leakage'!$C$5)*102*'Emissions Factors'!$D$38*'Calcs - Power'!$B43+'Emissions Factors'!$D$37*('Calcs - Power'!$C43+'Calcs - Power'!$D43+'Calcs - Power'!$E43+'Calcs - Power'!$F43))</f>
        <v>249065.66344283975</v>
      </c>
      <c r="U44" s="361">
        <f>(102*'Emissions Factors'!$C$36*'Calcs - Power'!$G43+'Emissions Factors'!$C$35*('Calcs - Power'!$H43+'Calcs - Power'!$I43+'Calcs - Power'!$J43+'Calcs - Power'!$K43))</f>
        <v>20292.805360352671</v>
      </c>
      <c r="V44" s="366">
        <f>(102*'Emissions Factors'!$C$36*'Calcs - Power'!$B43+'Emissions Factors'!$C$35*('Calcs - Power'!$C43+'Calcs - Power'!$D43+'Calcs - Power'!$E43+'Calcs - Power'!$F43))</f>
        <v>359273.20312917739</v>
      </c>
      <c r="W44" s="359">
        <f>(102*'Emissions Factors'!$D$36*'Calcs - Power'!$G43+'Emissions Factors'!$D$35*('Calcs - Power'!$H43+'Calcs - Power'!$I43+'Calcs - Power'!$J43+'Calcs - Power'!$K43))</f>
        <v>20292.805360352671</v>
      </c>
      <c r="X44" s="366">
        <f>(102*'Emissions Factors'!$D$36*'Calcs - Power'!$B43+'Emissions Factors'!$D$35*('Calcs - Power'!$C43+'Calcs - Power'!$D43+'Calcs - Power'!$E43+'Calcs - Power'!$F43))</f>
        <v>359273.20312917739</v>
      </c>
      <c r="Y44" s="359">
        <f>(102*'Emissions Factors'!$C$38*'Calcs - Power'!$G43+'Emissions Factors'!$C$37*('Calcs - Power'!$H43+'Calcs - Power'!$I43+'Calcs - Power'!$J43+'Calcs - Power'!$K43))</f>
        <v>13195.153643823811</v>
      </c>
      <c r="Z44" s="366">
        <f>(102*'Emissions Factors'!$C$38*'Calcs - Power'!$B43+'Emissions Factors'!$C$37*('Calcs - Power'!$C43+'Calcs - Power'!$D43+'Calcs - Power'!$E43+'Calcs - Power'!$F43))</f>
        <v>249065.66344283975</v>
      </c>
      <c r="AA44" s="359">
        <f>(102*'Emissions Factors'!$C$36*'Calcs - Power'!$G43+'Emissions Factors'!$C$35*('Calcs - Power'!$H43+'Calcs - Power'!$I43+'Calcs - Power'!$J43+'Calcs - Power'!$K43))</f>
        <v>20292.805360352671</v>
      </c>
      <c r="AB44" s="366">
        <f>(102*'Emissions Factors'!$C$36*'Calcs - Power'!$B43+'Emissions Factors'!$C$35*('Calcs - Power'!$C43+'Calcs - Power'!$D43+'Calcs - Power'!$E43+'Calcs - Power'!$F43))</f>
        <v>359273.20312917739</v>
      </c>
      <c r="AI44" s="358">
        <f t="shared" si="12"/>
        <v>32</v>
      </c>
      <c r="AJ44" s="359">
        <f>(('Methane Leakage'!$G$6/'Methane Leakage'!$G$5)*102*'Emissions Factors'!$D$10*'Calcs - Power'!$G43+'Emissions Factors'!$D$11*('Calcs - Power'!$H43+'Calcs - Power'!$I43+'Calcs - Power'!$J43+'Calcs - Power'!$K43))</f>
        <v>1916.5793197640432</v>
      </c>
      <c r="AK44" s="366">
        <f>(('Methane Leakage'!$G$6/'Methane Leakage'!$G$5)*102*'Emissions Factors'!$D$10*'Calcs - Power'!$B43+'Emissions Factors'!$D$11*('Calcs - Power'!$C43+'Calcs - Power'!$D43+'Calcs - Power'!$E43+'Calcs - Power'!$F43))</f>
        <v>36830.180021536697</v>
      </c>
      <c r="AL44" s="359">
        <f>(102*'Emissions Factors'!$E$10*'Calcs - Power'!$G43+'Emissions Factors'!$E$11*('Calcs - Power'!H43+'Calcs - Power'!I43+'Calcs - Power'!J43+'Calcs - Power'!K43))</f>
        <v>1833.6468024857238</v>
      </c>
      <c r="AM44" s="366">
        <f>(102*'Emissions Factors'!$E$10*'Calcs - Power'!$B43+'Emissions Factors'!$E$11*('Calcs - Power'!C43+'Calcs - Power'!D43+'Calcs - Power'!E43+'Calcs - Power'!F43))</f>
        <v>32660.056049734725</v>
      </c>
      <c r="AN44" s="359">
        <f>(102*'Emissions Factors'!$D$10*'Calcs - Power'!$G43+'Emissions Factors'!$D$11*('Calcs - Power'!$H43+'Calcs - Power'!$I43+'Calcs - Power'!$J43+'Calcs - Power'!$K43))</f>
        <v>1916.5793197640432</v>
      </c>
      <c r="AO44" s="366">
        <f>(102*'Emissions Factors'!$D$10*'Calcs - Power'!$B43+'Emissions Factors'!$D$11*('Calcs - Power'!$C43+'Calcs - Power'!$D43+'Calcs - Power'!$E43+'Calcs - Power'!$F43))</f>
        <v>36830.180021536697</v>
      </c>
      <c r="AP44" s="367">
        <f>(102*'Emissions Factors'!$E$10*'Calcs - Power'!$G43+'Emissions Factors'!$E$11*('Calcs - Power'!H43+'Calcs - Power'!I43+'Calcs - Power'!J43+'Calcs - Power'!K43))</f>
        <v>1833.6468024857238</v>
      </c>
      <c r="AQ44" s="366">
        <f>(102*'Emissions Factors'!$E$10*'Calcs - Power'!$B43+'Emissions Factors'!$E$11*('Calcs - Power'!C43+'Calcs - Power'!D43+'Calcs - Power'!E43+'Calcs - Power'!F43))</f>
        <v>32660.056049734725</v>
      </c>
      <c r="AS44" s="357"/>
      <c r="AT44" s="357"/>
      <c r="AU44" s="357"/>
      <c r="AV44" s="357"/>
      <c r="AX44" s="358">
        <f t="shared" si="13"/>
        <v>32</v>
      </c>
      <c r="AY44" s="359">
        <f>(('Methane Leakage'!$G$6/'Methane Leakage'!$G$5)*102*'Emissions Factors'!$F$10*'Calcs - Power'!$G43+'Emissions Factors'!$F$11*('Calcs - Power'!$H43+'Calcs - Power'!$I43+'Calcs - Power'!$J43+'Calcs - Power'!$K43))</f>
        <v>2477971.1029314776</v>
      </c>
      <c r="AZ44" s="366">
        <f>(('Methane Leakage'!$G$6/'Methane Leakage'!$G$5)*102*'Emissions Factors'!$F$10*'Calcs - Power'!$B43+'Emissions Factors'!$F$11*('Calcs - Power'!$C43+'Calcs - Power'!$D43+'Calcs - Power'!$E43+'Calcs - Power'!$F43))</f>
        <v>46716101.836292177</v>
      </c>
      <c r="BA44" s="359">
        <f>(102*'Emissions Factors'!$G$10*'Calcs - Power'!$G43+'Emissions Factors'!$G$11*('Calcs - Power'!H43+'Calcs - Power'!I43+'Calcs - Power'!J43+'Calcs - Power'!K43))</f>
        <v>2101567.4347158698</v>
      </c>
      <c r="BB44" s="366">
        <f>(102*'Emissions Factors'!$G$10*'Calcs - Power'!$B43+'Emissions Factors'!$G$11*('Calcs - Power'!C43+'Calcs - Power'!D43+'Calcs - Power'!E43+'Calcs - Power'!F43))</f>
        <v>37314785.307265021</v>
      </c>
      <c r="BC44" s="359">
        <f>(102*'Emissions Factors'!$F$10*'Calcs - Power'!$G43+'Emissions Factors'!$F$11*('Calcs - Power'!$H43+'Calcs - Power'!$I43+'Calcs - Power'!$J43+'Calcs - Power'!$K43))</f>
        <v>2477971.1029314776</v>
      </c>
      <c r="BD44" s="366">
        <f>(102*'Emissions Factors'!$F$10*'Calcs - Power'!$B43+'Emissions Factors'!$F$11*('Calcs - Power'!$C43+'Calcs - Power'!$D43+'Calcs - Power'!$E43+'Calcs - Power'!$F43))</f>
        <v>46716101.836292177</v>
      </c>
      <c r="BE44" s="359">
        <f>(102*'Emissions Factors'!$G$10*'Calcs - Power'!$G43+'Emissions Factors'!$G$11*('Calcs - Power'!H43+'Calcs - Power'!I43+'Calcs - Power'!J43+'Calcs - Power'!K43))</f>
        <v>2101567.4347158698</v>
      </c>
      <c r="BF44" s="366">
        <f>(102*'Emissions Factors'!$G$10*'Calcs - Power'!$B43+'Emissions Factors'!$G$11*('Calcs - Power'!C43+'Calcs - Power'!D43+'Calcs - Power'!E43+'Calcs - Power'!F43))</f>
        <v>37314785.307265021</v>
      </c>
    </row>
    <row r="45" spans="1:58" x14ac:dyDescent="0.3">
      <c r="A45" s="351">
        <f t="shared" si="10"/>
        <v>33</v>
      </c>
      <c r="B45" s="352">
        <f t="shared" si="0"/>
        <v>0.99999999999999989</v>
      </c>
      <c r="C45" s="363">
        <f t="shared" si="1"/>
        <v>0.99999999999999989</v>
      </c>
      <c r="D45" s="352">
        <f t="shared" si="2"/>
        <v>1</v>
      </c>
      <c r="E45" s="364">
        <f t="shared" si="3"/>
        <v>1</v>
      </c>
      <c r="F45" s="364">
        <f t="shared" si="4"/>
        <v>1</v>
      </c>
      <c r="G45" s="365">
        <f t="shared" si="5"/>
        <v>1</v>
      </c>
      <c r="P45" s="358">
        <f t="shared" si="11"/>
        <v>33</v>
      </c>
      <c r="Q45" s="359">
        <f>(('Methane Leakage'!$C$6/'Methane Leakage'!$C$5)*102*'Emissions Factors'!$C$38*'Calcs - Power'!$G44+'Emissions Factors'!$C$37*('Calcs - Power'!$H44+'Calcs - Power'!$I44+'Calcs - Power'!$J44+'Calcs - Power'!$K44))</f>
        <v>13450.746069341852</v>
      </c>
      <c r="R45" s="366">
        <f>(('Methane Leakage'!$C$6/'Methane Leakage'!$C$5)*102*'Emissions Factors'!$C$38*'Calcs - Power'!$B44+'Emissions Factors'!$C$37*('Calcs - Power'!$C44+'Calcs - Power'!$D44+'Calcs - Power'!$E44+'Calcs - Power'!$F44))</f>
        <v>262388.94241703715</v>
      </c>
      <c r="S45" s="359">
        <f>(('Methane Leakage'!$C$6/'Methane Leakage'!$C$5)*102*'Emissions Factors'!$D$38*'Calcs - Power'!$G44+'Emissions Factors'!$D$37*('Calcs - Power'!$H44+'Calcs - Power'!$I44+'Calcs - Power'!$J44+'Calcs - Power'!$K44))</f>
        <v>13450.746069341852</v>
      </c>
      <c r="T45" s="366">
        <f>(('Methane Leakage'!$C$6/'Methane Leakage'!$C$5)*102*'Emissions Factors'!$D$38*'Calcs - Power'!$B44+'Emissions Factors'!$D$37*('Calcs - Power'!$C44+'Calcs - Power'!$D44+'Calcs - Power'!$E44+'Calcs - Power'!$F44))</f>
        <v>262388.94241703715</v>
      </c>
      <c r="U45" s="361">
        <f>(102*'Emissions Factors'!$C$36*'Calcs - Power'!$G44+'Emissions Factors'!$C$35*('Calcs - Power'!$H44+'Calcs - Power'!$I44+'Calcs - Power'!$J44+'Calcs - Power'!$K44))</f>
        <v>20776.501296508683</v>
      </c>
      <c r="V45" s="366">
        <f>(102*'Emissions Factors'!$C$36*'Calcs - Power'!$B44+'Emissions Factors'!$C$35*('Calcs - Power'!$C44+'Calcs - Power'!$D44+'Calcs - Power'!$E44+'Calcs - Power'!$F44))</f>
        <v>379808.25092318747</v>
      </c>
      <c r="W45" s="359">
        <f>(102*'Emissions Factors'!$D$36*'Calcs - Power'!$G44+'Emissions Factors'!$D$35*('Calcs - Power'!$H44+'Calcs - Power'!$I44+'Calcs - Power'!$J44+'Calcs - Power'!$K44))</f>
        <v>20776.501296508683</v>
      </c>
      <c r="X45" s="366">
        <f>(102*'Emissions Factors'!$D$36*'Calcs - Power'!$B44+'Emissions Factors'!$D$35*('Calcs - Power'!$C44+'Calcs - Power'!$D44+'Calcs - Power'!$E44+'Calcs - Power'!$F44))</f>
        <v>379808.25092318747</v>
      </c>
      <c r="Y45" s="359">
        <f>(102*'Emissions Factors'!$C$38*'Calcs - Power'!$G44+'Emissions Factors'!$C$37*('Calcs - Power'!$H44+'Calcs - Power'!$I44+'Calcs - Power'!$J44+'Calcs - Power'!$K44))</f>
        <v>13450.746069341852</v>
      </c>
      <c r="Z45" s="366">
        <f>(102*'Emissions Factors'!$C$38*'Calcs - Power'!$B44+'Emissions Factors'!$C$37*('Calcs - Power'!$C44+'Calcs - Power'!$D44+'Calcs - Power'!$E44+'Calcs - Power'!$F44))</f>
        <v>262388.94241703715</v>
      </c>
      <c r="AA45" s="359">
        <f>(102*'Emissions Factors'!$C$36*'Calcs - Power'!$G44+'Emissions Factors'!$C$35*('Calcs - Power'!$H44+'Calcs - Power'!$I44+'Calcs - Power'!$J44+'Calcs - Power'!$K44))</f>
        <v>20776.501296508683</v>
      </c>
      <c r="AB45" s="366">
        <f>(102*'Emissions Factors'!$C$36*'Calcs - Power'!$B44+'Emissions Factors'!$C$35*('Calcs - Power'!$C44+'Calcs - Power'!$D44+'Calcs - Power'!$E44+'Calcs - Power'!$F44))</f>
        <v>379808.25092318747</v>
      </c>
      <c r="AI45" s="358">
        <f t="shared" si="12"/>
        <v>33</v>
      </c>
      <c r="AJ45" s="359">
        <f>(('Methane Leakage'!$G$6/'Methane Leakage'!$G$5)*102*'Emissions Factors'!$D$10*'Calcs - Power'!$G44+'Emissions Factors'!$D$11*('Calcs - Power'!$H44+'Calcs - Power'!$I44+'Calcs - Power'!$J44+'Calcs - Power'!$K44))</f>
        <v>1951.2110172196965</v>
      </c>
      <c r="AK45" s="366">
        <f>(('Methane Leakage'!$G$6/'Methane Leakage'!$G$5)*102*'Emissions Factors'!$D$10*'Calcs - Power'!$B44+'Emissions Factors'!$D$11*('Calcs - Power'!$C44+'Calcs - Power'!$D44+'Calcs - Power'!$E44+'Calcs - Power'!$F44))</f>
        <v>38764.126066122073</v>
      </c>
      <c r="AL45" s="359">
        <f>(102*'Emissions Factors'!$E$10*'Calcs - Power'!$G44+'Emissions Factors'!$E$11*('Calcs - Power'!H44+'Calcs - Power'!I44+'Calcs - Power'!J44+'Calcs - Power'!K44))</f>
        <v>1876.6046565573538</v>
      </c>
      <c r="AM45" s="366">
        <f>(102*'Emissions Factors'!$E$10*'Calcs - Power'!$B44+'Emissions Factors'!$E$11*('Calcs - Power'!C44+'Calcs - Power'!D44+'Calcs - Power'!E44+'Calcs - Power'!F44))</f>
        <v>34515.218345605717</v>
      </c>
      <c r="AN45" s="359">
        <f>(102*'Emissions Factors'!$D$10*'Calcs - Power'!$G44+'Emissions Factors'!$D$11*('Calcs - Power'!$H44+'Calcs - Power'!$I44+'Calcs - Power'!$J44+'Calcs - Power'!$K44))</f>
        <v>1951.2110172196965</v>
      </c>
      <c r="AO45" s="366">
        <f>(102*'Emissions Factors'!$D$10*'Calcs - Power'!$B44+'Emissions Factors'!$D$11*('Calcs - Power'!$C44+'Calcs - Power'!$D44+'Calcs - Power'!$E44+'Calcs - Power'!$F44))</f>
        <v>38764.126066122073</v>
      </c>
      <c r="AP45" s="367">
        <f>(102*'Emissions Factors'!$E$10*'Calcs - Power'!$G44+'Emissions Factors'!$E$11*('Calcs - Power'!H44+'Calcs - Power'!I44+'Calcs - Power'!J44+'Calcs - Power'!K44))</f>
        <v>1876.6046565573538</v>
      </c>
      <c r="AQ45" s="366">
        <f>(102*'Emissions Factors'!$E$10*'Calcs - Power'!$B44+'Emissions Factors'!$E$11*('Calcs - Power'!C44+'Calcs - Power'!D44+'Calcs - Power'!E44+'Calcs - Power'!F44))</f>
        <v>34515.218345605717</v>
      </c>
      <c r="AS45" s="357"/>
      <c r="AT45" s="357"/>
      <c r="AU45" s="357"/>
      <c r="AV45" s="357"/>
      <c r="AX45" s="358">
        <f t="shared" si="13"/>
        <v>33</v>
      </c>
      <c r="AY45" s="359">
        <f>(('Methane Leakage'!$G$6/'Methane Leakage'!$G$5)*102*'Emissions Factors'!$F$10*'Calcs - Power'!$G44+'Emissions Factors'!$F$11*('Calcs - Power'!$H44+'Calcs - Power'!$I44+'Calcs - Power'!$J44+'Calcs - Power'!$K44))</f>
        <v>2526186.9760786276</v>
      </c>
      <c r="AZ45" s="366">
        <f>(('Methane Leakage'!$G$6/'Methane Leakage'!$G$5)*102*'Emissions Factors'!$F$10*'Calcs - Power'!$B44+'Emissions Factors'!$F$11*('Calcs - Power'!$C44+'Calcs - Power'!$D44+'Calcs - Power'!$E44+'Calcs - Power'!$F44))</f>
        <v>49218242.41450955</v>
      </c>
      <c r="BA45" s="359">
        <f>(102*'Emissions Factors'!$G$10*'Calcs - Power'!$G44+'Emissions Factors'!$G$11*('Calcs - Power'!H44+'Calcs - Power'!I44+'Calcs - Power'!J44+'Calcs - Power'!K44))</f>
        <v>2151249.4918543198</v>
      </c>
      <c r="BB45" s="366">
        <f>(102*'Emissions Factors'!$G$10*'Calcs - Power'!$B44+'Emissions Factors'!$G$11*('Calcs - Power'!C44+'Calcs - Power'!D44+'Calcs - Power'!E44+'Calcs - Power'!F44))</f>
        <v>39441235.12825159</v>
      </c>
      <c r="BC45" s="359">
        <f>(102*'Emissions Factors'!$F$10*'Calcs - Power'!$G44+'Emissions Factors'!$F$11*('Calcs - Power'!$H44+'Calcs - Power'!$I44+'Calcs - Power'!$J44+'Calcs - Power'!$K44))</f>
        <v>2526186.9760786276</v>
      </c>
      <c r="BD45" s="366">
        <f>(102*'Emissions Factors'!$F$10*'Calcs - Power'!$B44+'Emissions Factors'!$F$11*('Calcs - Power'!$C44+'Calcs - Power'!$D44+'Calcs - Power'!$E44+'Calcs - Power'!$F44))</f>
        <v>49218242.41450955</v>
      </c>
      <c r="BE45" s="359">
        <f>(102*'Emissions Factors'!$G$10*'Calcs - Power'!$G44+'Emissions Factors'!$G$11*('Calcs - Power'!H44+'Calcs - Power'!I44+'Calcs - Power'!J44+'Calcs - Power'!K44))</f>
        <v>2151249.4918543198</v>
      </c>
      <c r="BF45" s="366">
        <f>(102*'Emissions Factors'!$G$10*'Calcs - Power'!$B44+'Emissions Factors'!$G$11*('Calcs - Power'!C44+'Calcs - Power'!D44+'Calcs - Power'!E44+'Calcs - Power'!F44))</f>
        <v>39441235.12825159</v>
      </c>
    </row>
    <row r="46" spans="1:58" x14ac:dyDescent="0.3">
      <c r="A46" s="351">
        <f t="shared" si="10"/>
        <v>34</v>
      </c>
      <c r="B46" s="352">
        <f t="shared" si="0"/>
        <v>1</v>
      </c>
      <c r="C46" s="363">
        <f t="shared" si="1"/>
        <v>0.99999999999999989</v>
      </c>
      <c r="D46" s="352">
        <f t="shared" si="2"/>
        <v>1</v>
      </c>
      <c r="E46" s="364">
        <f t="shared" si="3"/>
        <v>1</v>
      </c>
      <c r="F46" s="364">
        <f t="shared" si="4"/>
        <v>1</v>
      </c>
      <c r="G46" s="365">
        <f t="shared" si="5"/>
        <v>1</v>
      </c>
      <c r="P46" s="358">
        <f t="shared" si="11"/>
        <v>34</v>
      </c>
      <c r="Q46" s="359">
        <f>(('Methane Leakage'!$C$6/'Methane Leakage'!$C$5)*102*'Emissions Factors'!$C$38*'Calcs - Power'!$G45+'Emissions Factors'!$C$37*('Calcs - Power'!$H45+'Calcs - Power'!$I45+'Calcs - Power'!$J45+'Calcs - Power'!$K45))</f>
        <v>13702.505605563216</v>
      </c>
      <c r="R46" s="366">
        <f>(('Methane Leakage'!$C$6/'Methane Leakage'!$C$5)*102*'Emissions Factors'!$C$38*'Calcs - Power'!$B45+'Emissions Factors'!$C$37*('Calcs - Power'!$C45+'Calcs - Power'!$D45+'Calcs - Power'!$E45+'Calcs - Power'!$F45))</f>
        <v>275965.87813679822</v>
      </c>
      <c r="S46" s="359">
        <f>(('Methane Leakage'!$C$6/'Methane Leakage'!$C$5)*102*'Emissions Factors'!$D$38*'Calcs - Power'!$G45+'Emissions Factors'!$D$37*('Calcs - Power'!$H45+'Calcs - Power'!$I45+'Calcs - Power'!$J45+'Calcs - Power'!$K45))</f>
        <v>13702.505605563216</v>
      </c>
      <c r="T46" s="366">
        <f>(('Methane Leakage'!$C$6/'Methane Leakage'!$C$5)*102*'Emissions Factors'!$D$38*'Calcs - Power'!$B45+'Emissions Factors'!$D$37*('Calcs - Power'!$C45+'Calcs - Power'!$D45+'Calcs - Power'!$E45+'Calcs - Power'!$F45))</f>
        <v>275965.87813679822</v>
      </c>
      <c r="U46" s="361">
        <f>(102*'Emissions Factors'!$C$36*'Calcs - Power'!$G45+'Emissions Factors'!$C$35*('Calcs - Power'!$H45+'Calcs - Power'!$I45+'Calcs - Power'!$J45+'Calcs - Power'!$K45))</f>
        <v>21255.566570532745</v>
      </c>
      <c r="V46" s="366">
        <f>(102*'Emissions Factors'!$C$36*'Calcs - Power'!$B45+'Emissions Factors'!$C$35*('Calcs - Power'!$C45+'Calcs - Power'!$D45+'Calcs - Power'!$E45+'Calcs - Power'!$F45))</f>
        <v>400824.66229851975</v>
      </c>
      <c r="W46" s="359">
        <f>(102*'Emissions Factors'!$D$36*'Calcs - Power'!$G45+'Emissions Factors'!$D$35*('Calcs - Power'!$H45+'Calcs - Power'!$I45+'Calcs - Power'!$J45+'Calcs - Power'!$K45))</f>
        <v>21255.566570532745</v>
      </c>
      <c r="X46" s="366">
        <f>(102*'Emissions Factors'!$D$36*'Calcs - Power'!$B45+'Emissions Factors'!$D$35*('Calcs - Power'!$C45+'Calcs - Power'!$D45+'Calcs - Power'!$E45+'Calcs - Power'!$F45))</f>
        <v>400824.66229851975</v>
      </c>
      <c r="Y46" s="359">
        <f>(102*'Emissions Factors'!$C$38*'Calcs - Power'!$G45+'Emissions Factors'!$C$37*('Calcs - Power'!$H45+'Calcs - Power'!$I45+'Calcs - Power'!$J45+'Calcs - Power'!$K45))</f>
        <v>13702.505605563216</v>
      </c>
      <c r="Z46" s="366">
        <f>(102*'Emissions Factors'!$C$38*'Calcs - Power'!$B45+'Emissions Factors'!$C$37*('Calcs - Power'!$C45+'Calcs - Power'!$D45+'Calcs - Power'!$E45+'Calcs - Power'!$F45))</f>
        <v>275965.87813679822</v>
      </c>
      <c r="AA46" s="359">
        <f>(102*'Emissions Factors'!$C$36*'Calcs - Power'!$G45+'Emissions Factors'!$C$35*('Calcs - Power'!$H45+'Calcs - Power'!$I45+'Calcs - Power'!$J45+'Calcs - Power'!$K45))</f>
        <v>21255.566570532745</v>
      </c>
      <c r="AB46" s="366">
        <f>(102*'Emissions Factors'!$C$36*'Calcs - Power'!$B45+'Emissions Factors'!$C$35*('Calcs - Power'!$C45+'Calcs - Power'!$D45+'Calcs - Power'!$E45+'Calcs - Power'!$F45))</f>
        <v>400824.66229851975</v>
      </c>
      <c r="AI46" s="358">
        <f t="shared" si="12"/>
        <v>34</v>
      </c>
      <c r="AJ46" s="359">
        <f>(('Methane Leakage'!$G$6/'Methane Leakage'!$G$5)*102*'Emissions Factors'!$D$10*'Calcs - Power'!$G45+'Emissions Factors'!$D$11*('Calcs - Power'!$H45+'Calcs - Power'!$I45+'Calcs - Power'!$J45+'Calcs - Power'!$K45))</f>
        <v>1985.2512243753895</v>
      </c>
      <c r="AK46" s="366">
        <f>(('Methane Leakage'!$G$6/'Methane Leakage'!$G$5)*102*'Emissions Factors'!$D$10*'Calcs - Power'!$B45+'Emissions Factors'!$D$11*('Calcs - Power'!$C45+'Calcs - Power'!$D45+'Calcs - Power'!$E45+'Calcs - Power'!$F45))</f>
        <v>40732.404923661466</v>
      </c>
      <c r="AL46" s="359">
        <f>(102*'Emissions Factors'!$E$10*'Calcs - Power'!$G45+'Emissions Factors'!$E$11*('Calcs - Power'!H45+'Calcs - Power'!I45+'Calcs - Power'!J45+'Calcs - Power'!K45))</f>
        <v>1919.1336447918486</v>
      </c>
      <c r="AM46" s="366">
        <f>(102*'Emissions Factors'!$E$10*'Calcs - Power'!$B45+'Emissions Factors'!$E$11*('Calcs - Power'!C45+'Calcs - Power'!D45+'Calcs - Power'!E45+'Calcs - Power'!F45))</f>
        <v>36413.122420624379</v>
      </c>
      <c r="AN46" s="359">
        <f>(102*'Emissions Factors'!$D$10*'Calcs - Power'!$G45+'Emissions Factors'!$D$11*('Calcs - Power'!$H45+'Calcs - Power'!$I45+'Calcs - Power'!$J45+'Calcs - Power'!$K45))</f>
        <v>1985.2512243753895</v>
      </c>
      <c r="AO46" s="366">
        <f>(102*'Emissions Factors'!$D$10*'Calcs - Power'!$B45+'Emissions Factors'!$D$11*('Calcs - Power'!$C45+'Calcs - Power'!$D45+'Calcs - Power'!$E45+'Calcs - Power'!$F45))</f>
        <v>40732.404923661466</v>
      </c>
      <c r="AP46" s="367">
        <f>(102*'Emissions Factors'!$E$10*'Calcs - Power'!$G45+'Emissions Factors'!$E$11*('Calcs - Power'!H45+'Calcs - Power'!I45+'Calcs - Power'!J45+'Calcs - Power'!K45))</f>
        <v>1919.1336447918486</v>
      </c>
      <c r="AQ46" s="366">
        <f>(102*'Emissions Factors'!$E$10*'Calcs - Power'!$B45+'Emissions Factors'!$E$11*('Calcs - Power'!C45+'Calcs - Power'!D45+'Calcs - Power'!E45+'Calcs - Power'!F45))</f>
        <v>36413.122420624379</v>
      </c>
      <c r="AS46" s="357"/>
      <c r="AT46" s="357"/>
      <c r="AU46" s="357"/>
      <c r="AV46" s="357"/>
      <c r="AX46" s="358">
        <f t="shared" si="13"/>
        <v>34</v>
      </c>
      <c r="AY46" s="359">
        <f>(('Methane Leakage'!$G$6/'Methane Leakage'!$G$5)*102*'Emissions Factors'!$F$10*'Calcs - Power'!$G45+'Emissions Factors'!$F$11*('Calcs - Power'!$H45+'Calcs - Power'!$I45+'Calcs - Power'!$J45+'Calcs - Power'!$K45))</f>
        <v>2573686.0840640077</v>
      </c>
      <c r="AZ46" s="366">
        <f>(('Methane Leakage'!$G$6/'Methane Leakage'!$G$5)*102*'Emissions Factors'!$F$10*'Calcs - Power'!$B45+'Emissions Factors'!$F$11*('Calcs - Power'!$C45+'Calcs - Power'!$D45+'Calcs - Power'!$E45+'Calcs - Power'!$F45))</f>
        <v>51768236.901108816</v>
      </c>
      <c r="BA46" s="359">
        <f>(102*'Emissions Factors'!$G$10*'Calcs - Power'!$G45+'Emissions Factors'!$G$11*('Calcs - Power'!H45+'Calcs - Power'!I45+'Calcs - Power'!J45+'Calcs - Power'!K45))</f>
        <v>2200446.2612539222</v>
      </c>
      <c r="BB46" s="366">
        <f>(102*'Emissions Factors'!$G$10*'Calcs - Power'!$B45+'Emissions Factors'!$G$11*('Calcs - Power'!C45+'Calcs - Power'!D45+'Calcs - Power'!E45+'Calcs - Power'!F45))</f>
        <v>41617122.542593956</v>
      </c>
      <c r="BC46" s="359">
        <f>(102*'Emissions Factors'!$F$10*'Calcs - Power'!$G45+'Emissions Factors'!$F$11*('Calcs - Power'!$H45+'Calcs - Power'!$I45+'Calcs - Power'!$J45+'Calcs - Power'!$K45))</f>
        <v>2573686.0840640077</v>
      </c>
      <c r="BD46" s="366">
        <f>(102*'Emissions Factors'!$F$10*'Calcs - Power'!$B45+'Emissions Factors'!$F$11*('Calcs - Power'!$C45+'Calcs - Power'!$D45+'Calcs - Power'!$E45+'Calcs - Power'!$F45))</f>
        <v>51768236.901108816</v>
      </c>
      <c r="BE46" s="359">
        <f>(102*'Emissions Factors'!$G$10*'Calcs - Power'!$G45+'Emissions Factors'!$G$11*('Calcs - Power'!H45+'Calcs - Power'!I45+'Calcs - Power'!J45+'Calcs - Power'!K45))</f>
        <v>2200446.2612539222</v>
      </c>
      <c r="BF46" s="366">
        <f>(102*'Emissions Factors'!$G$10*'Calcs - Power'!$B45+'Emissions Factors'!$G$11*('Calcs - Power'!C45+'Calcs - Power'!D45+'Calcs - Power'!E45+'Calcs - Power'!F45))</f>
        <v>41617122.542593956</v>
      </c>
    </row>
    <row r="47" spans="1:58" x14ac:dyDescent="0.3">
      <c r="A47" s="351">
        <f t="shared" si="10"/>
        <v>35</v>
      </c>
      <c r="B47" s="352">
        <f t="shared" si="0"/>
        <v>0.99999999999999989</v>
      </c>
      <c r="C47" s="363">
        <f t="shared" si="1"/>
        <v>1</v>
      </c>
      <c r="D47" s="352">
        <f t="shared" si="2"/>
        <v>1</v>
      </c>
      <c r="E47" s="364">
        <f t="shared" si="3"/>
        <v>1</v>
      </c>
      <c r="F47" s="364">
        <f t="shared" si="4"/>
        <v>1</v>
      </c>
      <c r="G47" s="365">
        <f t="shared" si="5"/>
        <v>1</v>
      </c>
      <c r="P47" s="358">
        <f t="shared" si="11"/>
        <v>35</v>
      </c>
      <c r="Q47" s="359">
        <f>(('Methane Leakage'!$C$6/'Methane Leakage'!$C$5)*102*'Emissions Factors'!$C$38*'Calcs - Power'!$G46+'Emissions Factors'!$C$37*('Calcs - Power'!$H46+'Calcs - Power'!$I46+'Calcs - Power'!$J46+'Calcs - Power'!$K46))</f>
        <v>13950.654974822326</v>
      </c>
      <c r="R47" s="366">
        <f>(('Methane Leakage'!$C$6/'Methane Leakage'!$C$5)*102*'Emissions Factors'!$C$38*'Calcs - Power'!$B46+'Emissions Factors'!$C$37*('Calcs - Power'!$C46+'Calcs - Power'!$D46+'Calcs - Power'!$E46+'Calcs - Power'!$F46))</f>
        <v>289792.75041073537</v>
      </c>
      <c r="S47" s="359">
        <f>(('Methane Leakage'!$C$6/'Methane Leakage'!$C$5)*102*'Emissions Factors'!$D$38*'Calcs - Power'!$G46+'Emissions Factors'!$D$37*('Calcs - Power'!$H46+'Calcs - Power'!$I46+'Calcs - Power'!$J46+'Calcs - Power'!$K46))</f>
        <v>13950.654974822326</v>
      </c>
      <c r="T47" s="366">
        <f>(('Methane Leakage'!$C$6/'Methane Leakage'!$C$5)*102*'Emissions Factors'!$D$38*'Calcs - Power'!$B46+'Emissions Factors'!$D$37*('Calcs - Power'!$C46+'Calcs - Power'!$D46+'Calcs - Power'!$E46+'Calcs - Power'!$F46))</f>
        <v>289792.75041073537</v>
      </c>
      <c r="U47" s="361">
        <f>(102*'Emissions Factors'!$C$36*'Calcs - Power'!$G46+'Emissions Factors'!$C$35*('Calcs - Power'!$H46+'Calcs - Power'!$I46+'Calcs - Power'!$J46+'Calcs - Power'!$K46))</f>
        <v>21730.199730011351</v>
      </c>
      <c r="V47" s="366">
        <f>(102*'Emissions Factors'!$C$36*'Calcs - Power'!$B46+'Emissions Factors'!$C$35*('Calcs - Power'!$C46+'Calcs - Power'!$D46+'Calcs - Power'!$E46+'Calcs - Power'!$F46))</f>
        <v>422317.90681537689</v>
      </c>
      <c r="W47" s="359">
        <f>(102*'Emissions Factors'!$D$36*'Calcs - Power'!$G46+'Emissions Factors'!$D$35*('Calcs - Power'!$H46+'Calcs - Power'!$I46+'Calcs - Power'!$J46+'Calcs - Power'!$K46))</f>
        <v>21730.199730011351</v>
      </c>
      <c r="X47" s="366">
        <f>(102*'Emissions Factors'!$D$36*'Calcs - Power'!$B46+'Emissions Factors'!$D$35*('Calcs - Power'!$C46+'Calcs - Power'!$D46+'Calcs - Power'!$E46+'Calcs - Power'!$F46))</f>
        <v>422317.90681537689</v>
      </c>
      <c r="Y47" s="359">
        <f>(102*'Emissions Factors'!$C$38*'Calcs - Power'!$G46+'Emissions Factors'!$C$37*('Calcs - Power'!$H46+'Calcs - Power'!$I46+'Calcs - Power'!$J46+'Calcs - Power'!$K46))</f>
        <v>13950.654974822326</v>
      </c>
      <c r="Z47" s="366">
        <f>(102*'Emissions Factors'!$C$38*'Calcs - Power'!$B46+'Emissions Factors'!$C$37*('Calcs - Power'!$C46+'Calcs - Power'!$D46+'Calcs - Power'!$E46+'Calcs - Power'!$F46))</f>
        <v>289792.75041073537</v>
      </c>
      <c r="AA47" s="359">
        <f>(102*'Emissions Factors'!$C$36*'Calcs - Power'!$G46+'Emissions Factors'!$C$35*('Calcs - Power'!$H46+'Calcs - Power'!$I46+'Calcs - Power'!$J46+'Calcs - Power'!$K46))</f>
        <v>21730.199730011351</v>
      </c>
      <c r="AB47" s="366">
        <f>(102*'Emissions Factors'!$C$36*'Calcs - Power'!$B46+'Emissions Factors'!$C$35*('Calcs - Power'!$C46+'Calcs - Power'!$D46+'Calcs - Power'!$E46+'Calcs - Power'!$F46))</f>
        <v>422317.90681537689</v>
      </c>
      <c r="AI47" s="358">
        <f t="shared" si="12"/>
        <v>35</v>
      </c>
      <c r="AJ47" s="359">
        <f>(('Methane Leakage'!$G$6/'Methane Leakage'!$G$5)*102*'Emissions Factors'!$D$10*'Calcs - Power'!$G46+'Emissions Factors'!$D$11*('Calcs - Power'!$H46+'Calcs - Power'!$I46+'Calcs - Power'!$J46+'Calcs - Power'!$K46))</f>
        <v>2018.7362518509581</v>
      </c>
      <c r="AK47" s="366">
        <f>(('Methane Leakage'!$G$6/'Methane Leakage'!$G$5)*102*'Emissions Factors'!$D$10*'Calcs - Power'!$B46+'Emissions Factors'!$D$11*('Calcs - Power'!$C46+'Calcs - Power'!$D46+'Calcs - Power'!$E46+'Calcs - Power'!$F46))</f>
        <v>42734.443483782379</v>
      </c>
      <c r="AL47" s="359">
        <f>(102*'Emissions Factors'!$E$10*'Calcs - Power'!$G46+'Emissions Factors'!$E$11*('Calcs - Power'!H46+'Calcs - Power'!I46+'Calcs - Power'!J46+'Calcs - Power'!K46))</f>
        <v>1961.2528972773234</v>
      </c>
      <c r="AM47" s="366">
        <f>(102*'Emissions Factors'!$E$10*'Calcs - Power'!$B46+'Emissions Factors'!$E$11*('Calcs - Power'!C46+'Calcs - Power'!D46+'Calcs - Power'!E46+'Calcs - Power'!F46))</f>
        <v>38353.349068854521</v>
      </c>
      <c r="AN47" s="359">
        <f>(102*'Emissions Factors'!$D$10*'Calcs - Power'!$G46+'Emissions Factors'!$D$11*('Calcs - Power'!$H46+'Calcs - Power'!$I46+'Calcs - Power'!$J46+'Calcs - Power'!$K46))</f>
        <v>2018.7362518509581</v>
      </c>
      <c r="AO47" s="366">
        <f>(102*'Emissions Factors'!$D$10*'Calcs - Power'!$B46+'Emissions Factors'!$D$11*('Calcs - Power'!$C46+'Calcs - Power'!$D46+'Calcs - Power'!$E46+'Calcs - Power'!$F46))</f>
        <v>42734.443483782379</v>
      </c>
      <c r="AP47" s="367">
        <f>(102*'Emissions Factors'!$E$10*'Calcs - Power'!$G46+'Emissions Factors'!$E$11*('Calcs - Power'!H46+'Calcs - Power'!I46+'Calcs - Power'!J46+'Calcs - Power'!K46))</f>
        <v>1961.2528972773234</v>
      </c>
      <c r="AQ47" s="366">
        <f>(102*'Emissions Factors'!$E$10*'Calcs - Power'!$B46+'Emissions Factors'!$E$11*('Calcs - Power'!C46+'Calcs - Power'!D46+'Calcs - Power'!E46+'Calcs - Power'!F46))</f>
        <v>38353.349068854521</v>
      </c>
      <c r="AS47" s="357"/>
      <c r="AT47" s="357"/>
      <c r="AU47" s="357"/>
      <c r="AV47" s="357"/>
      <c r="AX47" s="358">
        <f t="shared" si="13"/>
        <v>35</v>
      </c>
      <c r="AY47" s="359">
        <f>(('Methane Leakage'!$G$6/'Methane Leakage'!$G$5)*102*'Emissions Factors'!$F$10*'Calcs - Power'!$G46+'Emissions Factors'!$F$11*('Calcs - Power'!$H46+'Calcs - Power'!$I46+'Calcs - Power'!$J46+'Calcs - Power'!$K46))</f>
        <v>2620509.9078227263</v>
      </c>
      <c r="AZ47" s="366">
        <f>(('Methane Leakage'!$G$6/'Methane Leakage'!$G$5)*102*'Emissions Factors'!$F$10*'Calcs - Power'!$B46+'Emissions Factors'!$F$11*('Calcs - Power'!$C46+'Calcs - Power'!$D46+'Calcs - Power'!$E46+'Calcs - Power'!$F46))</f>
        <v>54365389.519774809</v>
      </c>
      <c r="BA47" s="359">
        <f>(102*'Emissions Factors'!$G$10*'Calcs - Power'!$G46+'Emissions Factors'!$G$11*('Calcs - Power'!H46+'Calcs - Power'!I46+'Calcs - Power'!J46+'Calcs - Power'!K46))</f>
        <v>2249178.9572210489</v>
      </c>
      <c r="BB47" s="366">
        <f>(102*'Emissions Factors'!$G$10*'Calcs - Power'!$B46+'Emissions Factors'!$G$11*('Calcs - Power'!C46+'Calcs - Power'!D46+'Calcs - Power'!E46+'Calcs - Power'!F46))</f>
        <v>43841972.972955771</v>
      </c>
      <c r="BC47" s="359">
        <f>(102*'Emissions Factors'!$F$10*'Calcs - Power'!$G46+'Emissions Factors'!$F$11*('Calcs - Power'!$H46+'Calcs - Power'!$I46+'Calcs - Power'!$J46+'Calcs - Power'!$K46))</f>
        <v>2620509.9078227263</v>
      </c>
      <c r="BD47" s="366">
        <f>(102*'Emissions Factors'!$F$10*'Calcs - Power'!$B46+'Emissions Factors'!$F$11*('Calcs - Power'!$C46+'Calcs - Power'!$D46+'Calcs - Power'!$E46+'Calcs - Power'!$F46))</f>
        <v>54365389.519774809</v>
      </c>
      <c r="BE47" s="359">
        <f>(102*'Emissions Factors'!$G$10*'Calcs - Power'!$G46+'Emissions Factors'!$G$11*('Calcs - Power'!H46+'Calcs - Power'!I46+'Calcs - Power'!J46+'Calcs - Power'!K46))</f>
        <v>2249178.9572210489</v>
      </c>
      <c r="BF47" s="366">
        <f>(102*'Emissions Factors'!$G$10*'Calcs - Power'!$B46+'Emissions Factors'!$G$11*('Calcs - Power'!C46+'Calcs - Power'!D46+'Calcs - Power'!E46+'Calcs - Power'!F46))</f>
        <v>43841972.972955771</v>
      </c>
    </row>
    <row r="48" spans="1:58" x14ac:dyDescent="0.3">
      <c r="A48" s="351">
        <f t="shared" si="10"/>
        <v>36</v>
      </c>
      <c r="B48" s="352">
        <f t="shared" si="0"/>
        <v>0.99999999999999978</v>
      </c>
      <c r="C48" s="363">
        <f t="shared" si="1"/>
        <v>1</v>
      </c>
      <c r="D48" s="352">
        <f t="shared" si="2"/>
        <v>1</v>
      </c>
      <c r="E48" s="364">
        <f t="shared" si="3"/>
        <v>1</v>
      </c>
      <c r="F48" s="364">
        <f t="shared" si="4"/>
        <v>1</v>
      </c>
      <c r="G48" s="365">
        <f t="shared" si="5"/>
        <v>1</v>
      </c>
      <c r="P48" s="358">
        <f t="shared" si="11"/>
        <v>36</v>
      </c>
      <c r="Q48" s="359">
        <f>(('Methane Leakage'!$C$6/'Methane Leakage'!$C$5)*102*'Emissions Factors'!$C$38*'Calcs - Power'!$G47+'Emissions Factors'!$C$37*('Calcs - Power'!$H47+'Calcs - Power'!$I47+'Calcs - Power'!$J47+'Calcs - Power'!$K47))</f>
        <v>14195.401448314158</v>
      </c>
      <c r="R48" s="366">
        <f>(('Methane Leakage'!$C$6/'Methane Leakage'!$C$5)*102*'Emissions Factors'!$C$38*'Calcs - Power'!$B47+'Emissions Factors'!$C$37*('Calcs - Power'!$C47+'Calcs - Power'!$D47+'Calcs - Power'!$E47+'Calcs - Power'!$F47))</f>
        <v>303866.05394694163</v>
      </c>
      <c r="S48" s="359">
        <f>(('Methane Leakage'!$C$6/'Methane Leakage'!$C$5)*102*'Emissions Factors'!$D$38*'Calcs - Power'!$G47+'Emissions Factors'!$D$37*('Calcs - Power'!$H47+'Calcs - Power'!$I47+'Calcs - Power'!$J47+'Calcs - Power'!$K47))</f>
        <v>14195.401448314158</v>
      </c>
      <c r="T48" s="366">
        <f>(('Methane Leakage'!$C$6/'Methane Leakage'!$C$5)*102*'Emissions Factors'!$D$38*'Calcs - Power'!$B47+'Emissions Factors'!$D$37*('Calcs - Power'!$C47+'Calcs - Power'!$D47+'Calcs - Power'!$E47+'Calcs - Power'!$F47))</f>
        <v>303866.05394694163</v>
      </c>
      <c r="U48" s="361">
        <f>(102*'Emissions Factors'!$C$36*'Calcs - Power'!$G47+'Emissions Factors'!$C$35*('Calcs - Power'!$H47+'Calcs - Power'!$I47+'Calcs - Power'!$J47+'Calcs - Power'!$K47))</f>
        <v>22200.588279893673</v>
      </c>
      <c r="V48" s="366">
        <f>(102*'Emissions Factors'!$C$36*'Calcs - Power'!$B47+'Emissions Factors'!$C$35*('Calcs - Power'!$C47+'Calcs - Power'!$D47+'Calcs - Power'!$E47+'Calcs - Power'!$F47))</f>
        <v>444283.6470040647</v>
      </c>
      <c r="W48" s="359">
        <f>(102*'Emissions Factors'!$D$36*'Calcs - Power'!$G47+'Emissions Factors'!$D$35*('Calcs - Power'!$H47+'Calcs - Power'!$I47+'Calcs - Power'!$J47+'Calcs - Power'!$K47))</f>
        <v>22200.588279893673</v>
      </c>
      <c r="X48" s="366">
        <f>(102*'Emissions Factors'!$D$36*'Calcs - Power'!$B47+'Emissions Factors'!$D$35*('Calcs - Power'!$C47+'Calcs - Power'!$D47+'Calcs - Power'!$E47+'Calcs - Power'!$F47))</f>
        <v>444283.6470040647</v>
      </c>
      <c r="Y48" s="359">
        <f>(102*'Emissions Factors'!$C$38*'Calcs - Power'!$G47+'Emissions Factors'!$C$37*('Calcs - Power'!$H47+'Calcs - Power'!$I47+'Calcs - Power'!$J47+'Calcs - Power'!$K47))</f>
        <v>14195.401448314158</v>
      </c>
      <c r="Z48" s="366">
        <f>(102*'Emissions Factors'!$C$38*'Calcs - Power'!$B47+'Emissions Factors'!$C$37*('Calcs - Power'!$C47+'Calcs - Power'!$D47+'Calcs - Power'!$E47+'Calcs - Power'!$F47))</f>
        <v>303866.05394694163</v>
      </c>
      <c r="AA48" s="359">
        <f>(102*'Emissions Factors'!$C$36*'Calcs - Power'!$G47+'Emissions Factors'!$C$35*('Calcs - Power'!$H47+'Calcs - Power'!$I47+'Calcs - Power'!$J47+'Calcs - Power'!$K47))</f>
        <v>22200.588279893673</v>
      </c>
      <c r="AB48" s="366">
        <f>(102*'Emissions Factors'!$C$36*'Calcs - Power'!$B47+'Emissions Factors'!$C$35*('Calcs - Power'!$C47+'Calcs - Power'!$D47+'Calcs - Power'!$E47+'Calcs - Power'!$F47))</f>
        <v>444283.6470040647</v>
      </c>
      <c r="AI48" s="358">
        <f t="shared" si="12"/>
        <v>36</v>
      </c>
      <c r="AJ48" s="359">
        <f>(('Methane Leakage'!$G$6/'Methane Leakage'!$G$5)*102*'Emissions Factors'!$D$10*'Calcs - Power'!$G47+'Emissions Factors'!$D$11*('Calcs - Power'!$H47+'Calcs - Power'!$I47+'Calcs - Power'!$J47+'Calcs - Power'!$K47))</f>
        <v>2051.6998161183624</v>
      </c>
      <c r="AK48" s="366">
        <f>(('Methane Leakage'!$G$6/'Methane Leakage'!$G$5)*102*'Emissions Factors'!$D$10*'Calcs - Power'!$B47+'Emissions Factors'!$D$11*('Calcs - Power'!$C47+'Calcs - Power'!$D47+'Calcs - Power'!$E47+'Calcs - Power'!$F47))</f>
        <v>44769.703632957317</v>
      </c>
      <c r="AL48" s="359">
        <f>(102*'Emissions Factors'!$E$10*'Calcs - Power'!$G47+'Emissions Factors'!$E$11*('Calcs - Power'!H47+'Calcs - Power'!I47+'Calcs - Power'!J47+'Calcs - Power'!K47))</f>
        <v>2002.980441214261</v>
      </c>
      <c r="AM48" s="366">
        <f>(102*'Emissions Factors'!$E$10*'Calcs - Power'!$B47+'Emissions Factors'!$E$11*('Calcs - Power'!C47+'Calcs - Power'!D47+'Calcs - Power'!E47+'Calcs - Power'!F47))</f>
        <v>40335.49765715719</v>
      </c>
      <c r="AN48" s="359">
        <f>(102*'Emissions Factors'!$D$10*'Calcs - Power'!$G47+'Emissions Factors'!$D$11*('Calcs - Power'!$H47+'Calcs - Power'!$I47+'Calcs - Power'!$J47+'Calcs - Power'!$K47))</f>
        <v>2051.6998161183624</v>
      </c>
      <c r="AO48" s="366">
        <f>(102*'Emissions Factors'!$D$10*'Calcs - Power'!$B47+'Emissions Factors'!$D$11*('Calcs - Power'!$C47+'Calcs - Power'!$D47+'Calcs - Power'!$E47+'Calcs - Power'!$F47))</f>
        <v>44769.703632957317</v>
      </c>
      <c r="AP48" s="367">
        <f>(102*'Emissions Factors'!$E$10*'Calcs - Power'!$G47+'Emissions Factors'!$E$11*('Calcs - Power'!H47+'Calcs - Power'!I47+'Calcs - Power'!J47+'Calcs - Power'!K47))</f>
        <v>2002.980441214261</v>
      </c>
      <c r="AQ48" s="366">
        <f>(102*'Emissions Factors'!$E$10*'Calcs - Power'!$B47+'Emissions Factors'!$E$11*('Calcs - Power'!C47+'Calcs - Power'!D47+'Calcs - Power'!E47+'Calcs - Power'!F47))</f>
        <v>40335.49765715719</v>
      </c>
      <c r="AS48" s="357"/>
      <c r="AT48" s="357"/>
      <c r="AU48" s="357"/>
      <c r="AV48" s="357"/>
      <c r="AX48" s="358">
        <f t="shared" si="13"/>
        <v>36</v>
      </c>
      <c r="AY48" s="359">
        <f>(('Methane Leakage'!$G$6/'Methane Leakage'!$G$5)*102*'Emissions Factors'!$F$10*'Calcs - Power'!$G47+'Emissions Factors'!$F$11*('Calcs - Power'!$H47+'Calcs - Power'!$I47+'Calcs - Power'!$J47+'Calcs - Power'!$K47))</f>
        <v>2666697.0571363098</v>
      </c>
      <c r="AZ48" s="366">
        <f>(('Methane Leakage'!$G$6/'Methane Leakage'!$G$5)*102*'Emissions Factors'!$F$10*'Calcs - Power'!$B47+'Emissions Factors'!$F$11*('Calcs - Power'!$C47+'Calcs - Power'!$D47+'Calcs - Power'!$E47+'Calcs - Power'!$F47))</f>
        <v>57009044.521505214</v>
      </c>
      <c r="BA48" s="359">
        <f>(102*'Emissions Factors'!$G$10*'Calcs - Power'!$G47+'Emissions Factors'!$G$11*('Calcs - Power'!H47+'Calcs - Power'!I47+'Calcs - Power'!J47+'Calcs - Power'!K47))</f>
        <v>2297467.5928363074</v>
      </c>
      <c r="BB48" s="366">
        <f>(102*'Emissions Factors'!$G$10*'Calcs - Power'!$B47+'Emissions Factors'!$G$11*('Calcs - Power'!C47+'Calcs - Power'!D47+'Calcs - Power'!E47+'Calcs - Power'!F47))</f>
        <v>46115332.449454233</v>
      </c>
      <c r="BC48" s="359">
        <f>(102*'Emissions Factors'!$F$10*'Calcs - Power'!$G47+'Emissions Factors'!$F$11*('Calcs - Power'!$H47+'Calcs - Power'!$I47+'Calcs - Power'!$J47+'Calcs - Power'!$K47))</f>
        <v>2666697.0571363098</v>
      </c>
      <c r="BD48" s="366">
        <f>(102*'Emissions Factors'!$F$10*'Calcs - Power'!$B47+'Emissions Factors'!$F$11*('Calcs - Power'!$C47+'Calcs - Power'!$D47+'Calcs - Power'!$E47+'Calcs - Power'!$F47))</f>
        <v>57009044.521505214</v>
      </c>
      <c r="BE48" s="359">
        <f>(102*'Emissions Factors'!$G$10*'Calcs - Power'!$G47+'Emissions Factors'!$G$11*('Calcs - Power'!H47+'Calcs - Power'!I47+'Calcs - Power'!J47+'Calcs - Power'!K47))</f>
        <v>2297467.5928363074</v>
      </c>
      <c r="BF48" s="366">
        <f>(102*'Emissions Factors'!$G$10*'Calcs - Power'!$B47+'Emissions Factors'!$G$11*('Calcs - Power'!C47+'Calcs - Power'!D47+'Calcs - Power'!E47+'Calcs - Power'!F47))</f>
        <v>46115332.449454233</v>
      </c>
    </row>
    <row r="49" spans="1:58" x14ac:dyDescent="0.3">
      <c r="A49" s="351">
        <f t="shared" si="10"/>
        <v>37</v>
      </c>
      <c r="B49" s="352">
        <f t="shared" si="0"/>
        <v>0.99999999999999989</v>
      </c>
      <c r="C49" s="363">
        <f t="shared" si="1"/>
        <v>0.99999999999999978</v>
      </c>
      <c r="D49" s="352">
        <f t="shared" si="2"/>
        <v>1</v>
      </c>
      <c r="E49" s="364">
        <f t="shared" si="3"/>
        <v>1</v>
      </c>
      <c r="F49" s="364">
        <f t="shared" si="4"/>
        <v>1</v>
      </c>
      <c r="G49" s="365">
        <f t="shared" si="5"/>
        <v>1</v>
      </c>
      <c r="P49" s="358">
        <f t="shared" si="11"/>
        <v>37</v>
      </c>
      <c r="Q49" s="359">
        <f>(('Methane Leakage'!$C$6/'Methane Leakage'!$C$5)*102*'Emissions Factors'!$C$38*'Calcs - Power'!$G48+'Emissions Factors'!$C$37*('Calcs - Power'!$H48+'Calcs - Power'!$I48+'Calcs - Power'!$J48+'Calcs - Power'!$K48))</f>
        <v>14436.937969360037</v>
      </c>
      <c r="R49" s="366">
        <f>(('Methane Leakage'!$C$6/'Methane Leakage'!$C$5)*102*'Emissions Factors'!$C$38*'Calcs - Power'!$B48+'Emissions Factors'!$C$37*('Calcs - Power'!$C48+'Calcs - Power'!$D48+'Calcs - Power'!$E48+'Calcs - Power'!$F48))</f>
        <v>318182.48347076343</v>
      </c>
      <c r="S49" s="359">
        <f>(('Methane Leakage'!$C$6/'Methane Leakage'!$C$5)*102*'Emissions Factors'!$D$38*'Calcs - Power'!$G48+'Emissions Factors'!$D$37*('Calcs - Power'!$H48+'Calcs - Power'!$I48+'Calcs - Power'!$J48+'Calcs - Power'!$K48))</f>
        <v>14436.937969360037</v>
      </c>
      <c r="T49" s="366">
        <f>(('Methane Leakage'!$C$6/'Methane Leakage'!$C$5)*102*'Emissions Factors'!$D$38*'Calcs - Power'!$B48+'Emissions Factors'!$D$37*('Calcs - Power'!$C48+'Calcs - Power'!$D48+'Calcs - Power'!$E48+'Calcs - Power'!$F48))</f>
        <v>318182.48347076343</v>
      </c>
      <c r="U49" s="361">
        <f>(102*'Emissions Factors'!$C$36*'Calcs - Power'!$G48+'Emissions Factors'!$C$35*('Calcs - Power'!$H48+'Calcs - Power'!$I48+'Calcs - Power'!$J48+'Calcs - Power'!$K48))</f>
        <v>22666.909335479213</v>
      </c>
      <c r="V49" s="366">
        <f>(102*'Emissions Factors'!$C$36*'Calcs - Power'!$B48+'Emissions Factors'!$C$35*('Calcs - Power'!$C48+'Calcs - Power'!$D48+'Calcs - Power'!$E48+'Calcs - Power'!$F48))</f>
        <v>466717.72765231447</v>
      </c>
      <c r="W49" s="359">
        <f>(102*'Emissions Factors'!$D$36*'Calcs - Power'!$G48+'Emissions Factors'!$D$35*('Calcs - Power'!$H48+'Calcs - Power'!$I48+'Calcs - Power'!$J48+'Calcs - Power'!$K48))</f>
        <v>22666.909335479213</v>
      </c>
      <c r="X49" s="366">
        <f>(102*'Emissions Factors'!$D$36*'Calcs - Power'!$B48+'Emissions Factors'!$D$35*('Calcs - Power'!$C48+'Calcs - Power'!$D48+'Calcs - Power'!$E48+'Calcs - Power'!$F48))</f>
        <v>466717.72765231447</v>
      </c>
      <c r="Y49" s="359">
        <f>(102*'Emissions Factors'!$C$38*'Calcs - Power'!$G48+'Emissions Factors'!$C$37*('Calcs - Power'!$H48+'Calcs - Power'!$I48+'Calcs - Power'!$J48+'Calcs - Power'!$K48))</f>
        <v>14436.937969360037</v>
      </c>
      <c r="Z49" s="366">
        <f>(102*'Emissions Factors'!$C$38*'Calcs - Power'!$B48+'Emissions Factors'!$C$37*('Calcs - Power'!$C48+'Calcs - Power'!$D48+'Calcs - Power'!$E48+'Calcs - Power'!$F48))</f>
        <v>318182.48347076343</v>
      </c>
      <c r="AA49" s="359">
        <f>(102*'Emissions Factors'!$C$36*'Calcs - Power'!$G48+'Emissions Factors'!$C$35*('Calcs - Power'!$H48+'Calcs - Power'!$I48+'Calcs - Power'!$J48+'Calcs - Power'!$K48))</f>
        <v>22666.909335479213</v>
      </c>
      <c r="AB49" s="366">
        <f>(102*'Emissions Factors'!$C$36*'Calcs - Power'!$B48+'Emissions Factors'!$C$35*('Calcs - Power'!$C48+'Calcs - Power'!$D48+'Calcs - Power'!$E48+'Calcs - Power'!$F48))</f>
        <v>466717.72765231447</v>
      </c>
      <c r="AI49" s="358">
        <f t="shared" si="12"/>
        <v>37</v>
      </c>
      <c r="AJ49" s="359">
        <f>(('Methane Leakage'!$G$6/'Methane Leakage'!$G$5)*102*'Emissions Factors'!$D$10*'Calcs - Power'!$G48+'Emissions Factors'!$D$11*('Calcs - Power'!$H48+'Calcs - Power'!$I48+'Calcs - Power'!$J48+'Calcs - Power'!$K48))</f>
        <v>2084.173232211233</v>
      </c>
      <c r="AK49" s="366">
        <f>(('Methane Leakage'!$G$6/'Methane Leakage'!$G$5)*102*'Emissions Factors'!$D$10*'Calcs - Power'!$B48+'Emissions Factors'!$D$11*('Calcs - Power'!$C48+'Calcs - Power'!$D48+'Calcs - Power'!$E48+'Calcs - Power'!$F48))</f>
        <v>46837.679757980528</v>
      </c>
      <c r="AL49" s="359">
        <f>(102*'Emissions Factors'!$E$10*'Calcs - Power'!$G48+'Emissions Factors'!$E$11*('Calcs - Power'!H48+'Calcs - Power'!I48+'Calcs - Power'!J48+'Calcs - Power'!K48))</f>
        <v>2044.3332687957454</v>
      </c>
      <c r="AM49" s="366">
        <f>(102*'Emissions Factors'!$E$10*'Calcs - Power'!$B48+'Emissions Factors'!$E$11*('Calcs - Power'!C48+'Calcs - Power'!D48+'Calcs - Power'!E48+'Calcs - Power'!F48))</f>
        <v>42359.185056620248</v>
      </c>
      <c r="AN49" s="359">
        <f>(102*'Emissions Factors'!$D$10*'Calcs - Power'!$G48+'Emissions Factors'!$D$11*('Calcs - Power'!$H48+'Calcs - Power'!$I48+'Calcs - Power'!$J48+'Calcs - Power'!$K48))</f>
        <v>2084.173232211233</v>
      </c>
      <c r="AO49" s="366">
        <f>(102*'Emissions Factors'!$D$10*'Calcs - Power'!$B48+'Emissions Factors'!$D$11*('Calcs - Power'!$C48+'Calcs - Power'!$D48+'Calcs - Power'!$E48+'Calcs - Power'!$F48))</f>
        <v>46837.679757980528</v>
      </c>
      <c r="AP49" s="367">
        <f>(102*'Emissions Factors'!$E$10*'Calcs - Power'!$G48+'Emissions Factors'!$E$11*('Calcs - Power'!H48+'Calcs - Power'!I48+'Calcs - Power'!J48+'Calcs - Power'!K48))</f>
        <v>2044.3332687957454</v>
      </c>
      <c r="AQ49" s="366">
        <f>(102*'Emissions Factors'!$E$10*'Calcs - Power'!$B48+'Emissions Factors'!$E$11*('Calcs - Power'!C48+'Calcs - Power'!D48+'Calcs - Power'!E48+'Calcs - Power'!F48))</f>
        <v>42359.185056620248</v>
      </c>
      <c r="AS49" s="357"/>
      <c r="AT49" s="357"/>
      <c r="AU49" s="357"/>
      <c r="AV49" s="357"/>
      <c r="AX49" s="358">
        <f t="shared" si="13"/>
        <v>37</v>
      </c>
      <c r="AY49" s="359">
        <f>(('Methane Leakage'!$G$6/'Methane Leakage'!$G$5)*102*'Emissions Factors'!$F$10*'Calcs - Power'!$G48+'Emissions Factors'!$F$11*('Calcs - Power'!$H48+'Calcs - Power'!$I48+'Calcs - Power'!$J48+'Calcs - Power'!$K48))</f>
        <v>2712283.4790007062</v>
      </c>
      <c r="AZ49" s="366">
        <f>(('Methane Leakage'!$G$6/'Methane Leakage'!$G$5)*102*'Emissions Factors'!$F$10*'Calcs - Power'!$B48+'Emissions Factors'!$F$11*('Calcs - Power'!$C48+'Calcs - Power'!$D48+'Calcs - Power'!$E48+'Calcs - Power'!$F48))</f>
        <v>59698583.418989524</v>
      </c>
      <c r="BA49" s="359">
        <f>(102*'Emissions Factors'!$G$10*'Calcs - Power'!$G48+'Emissions Factors'!$G$11*('Calcs - Power'!H48+'Calcs - Power'!I48+'Calcs - Power'!J48+'Calcs - Power'!K48))</f>
        <v>2345331.0524472883</v>
      </c>
      <c r="BB49" s="366">
        <f>(102*'Emissions Factors'!$G$10*'Calcs - Power'!$B48+'Emissions Factors'!$G$11*('Calcs - Power'!C48+'Calcs - Power'!D48+'Calcs - Power'!E48+'Calcs - Power'!F48))</f>
        <v>48436766.445074759</v>
      </c>
      <c r="BC49" s="359">
        <f>(102*'Emissions Factors'!$F$10*'Calcs - Power'!$G48+'Emissions Factors'!$F$11*('Calcs - Power'!$H48+'Calcs - Power'!$I48+'Calcs - Power'!$J48+'Calcs - Power'!$K48))</f>
        <v>2712283.4790007062</v>
      </c>
      <c r="BD49" s="366">
        <f>(102*'Emissions Factors'!$F$10*'Calcs - Power'!$B48+'Emissions Factors'!$F$11*('Calcs - Power'!$C48+'Calcs - Power'!$D48+'Calcs - Power'!$E48+'Calcs - Power'!$F48))</f>
        <v>59698583.418989524</v>
      </c>
      <c r="BE49" s="359">
        <f>(102*'Emissions Factors'!$G$10*'Calcs - Power'!$G48+'Emissions Factors'!$G$11*('Calcs - Power'!H48+'Calcs - Power'!I48+'Calcs - Power'!J48+'Calcs - Power'!K48))</f>
        <v>2345331.0524472883</v>
      </c>
      <c r="BF49" s="366">
        <f>(102*'Emissions Factors'!$G$10*'Calcs - Power'!$B48+'Emissions Factors'!$G$11*('Calcs - Power'!C48+'Calcs - Power'!D48+'Calcs - Power'!E48+'Calcs - Power'!F48))</f>
        <v>48436766.445074759</v>
      </c>
    </row>
    <row r="50" spans="1:58" x14ac:dyDescent="0.3">
      <c r="A50" s="351">
        <f t="shared" si="10"/>
        <v>38</v>
      </c>
      <c r="B50" s="352">
        <f t="shared" si="0"/>
        <v>0.99999999999999989</v>
      </c>
      <c r="C50" s="363">
        <f t="shared" si="1"/>
        <v>1</v>
      </c>
      <c r="D50" s="352">
        <f t="shared" si="2"/>
        <v>1</v>
      </c>
      <c r="E50" s="364">
        <f t="shared" si="3"/>
        <v>1</v>
      </c>
      <c r="F50" s="364">
        <f t="shared" si="4"/>
        <v>1</v>
      </c>
      <c r="G50" s="365">
        <f t="shared" si="5"/>
        <v>1</v>
      </c>
      <c r="P50" s="358">
        <f t="shared" si="11"/>
        <v>38</v>
      </c>
      <c r="Q50" s="359">
        <f>(('Methane Leakage'!$C$6/'Methane Leakage'!$C$5)*102*'Emissions Factors'!$C$38*'Calcs - Power'!$G49+'Emissions Factors'!$C$37*('Calcs - Power'!$H49+'Calcs - Power'!$I49+'Calcs - Power'!$J49+'Calcs - Power'!$K49))</f>
        <v>14675.444192691577</v>
      </c>
      <c r="R50" s="366">
        <f>(('Methane Leakage'!$C$6/'Methane Leakage'!$C$5)*102*'Emissions Factors'!$C$38*'Calcs - Power'!$B49+'Emissions Factors'!$C$37*('Calcs - Power'!$C49+'Calcs - Power'!$D49+'Calcs - Power'!$E49+'Calcs - Power'!$F49))</f>
        <v>332738.91992329404</v>
      </c>
      <c r="S50" s="359">
        <f>(('Methane Leakage'!$C$6/'Methane Leakage'!$C$5)*102*'Emissions Factors'!$D$38*'Calcs - Power'!$G49+'Emissions Factors'!$D$37*('Calcs - Power'!$H49+'Calcs - Power'!$I49+'Calcs - Power'!$J49+'Calcs - Power'!$K49))</f>
        <v>14675.444192691577</v>
      </c>
      <c r="T50" s="366">
        <f>(('Methane Leakage'!$C$6/'Methane Leakage'!$C$5)*102*'Emissions Factors'!$D$38*'Calcs - Power'!$B49+'Emissions Factors'!$D$37*('Calcs - Power'!$C49+'Calcs - Power'!$D49+'Calcs - Power'!$E49+'Calcs - Power'!$F49))</f>
        <v>332738.91992329404</v>
      </c>
      <c r="U50" s="361">
        <f>(102*'Emissions Factors'!$C$36*'Calcs - Power'!$G49+'Emissions Factors'!$C$35*('Calcs - Power'!$H49+'Calcs - Power'!$I49+'Calcs - Power'!$J49+'Calcs - Power'!$K49))</f>
        <v>23129.330235148394</v>
      </c>
      <c r="V50" s="366">
        <f>(102*'Emissions Factors'!$C$36*'Calcs - Power'!$B49+'Emissions Factors'!$C$35*('Calcs - Power'!$C49+'Calcs - Power'!$D49+'Calcs - Power'!$E49+'Calcs - Power'!$F49))</f>
        <v>489616.16572524689</v>
      </c>
      <c r="W50" s="359">
        <f>(102*'Emissions Factors'!$D$36*'Calcs - Power'!$G49+'Emissions Factors'!$D$35*('Calcs - Power'!$H49+'Calcs - Power'!$I49+'Calcs - Power'!$J49+'Calcs - Power'!$K49))</f>
        <v>23129.330235148394</v>
      </c>
      <c r="X50" s="366">
        <f>(102*'Emissions Factors'!$D$36*'Calcs - Power'!$B49+'Emissions Factors'!$D$35*('Calcs - Power'!$C49+'Calcs - Power'!$D49+'Calcs - Power'!$E49+'Calcs - Power'!$F49))</f>
        <v>489616.16572524689</v>
      </c>
      <c r="Y50" s="359">
        <f>(102*'Emissions Factors'!$C$38*'Calcs - Power'!$G49+'Emissions Factors'!$C$37*('Calcs - Power'!$H49+'Calcs - Power'!$I49+'Calcs - Power'!$J49+'Calcs - Power'!$K49))</f>
        <v>14675.444192691577</v>
      </c>
      <c r="Z50" s="366">
        <f>(102*'Emissions Factors'!$C$38*'Calcs - Power'!$B49+'Emissions Factors'!$C$37*('Calcs - Power'!$C49+'Calcs - Power'!$D49+'Calcs - Power'!$E49+'Calcs - Power'!$F49))</f>
        <v>332738.91992329404</v>
      </c>
      <c r="AA50" s="359">
        <f>(102*'Emissions Factors'!$C$36*'Calcs - Power'!$G49+'Emissions Factors'!$C$35*('Calcs - Power'!$H49+'Calcs - Power'!$I49+'Calcs - Power'!$J49+'Calcs - Power'!$K49))</f>
        <v>23129.330235148394</v>
      </c>
      <c r="AB50" s="366">
        <f>(102*'Emissions Factors'!$C$36*'Calcs - Power'!$B49+'Emissions Factors'!$C$35*('Calcs - Power'!$C49+'Calcs - Power'!$D49+'Calcs - Power'!$E49+'Calcs - Power'!$F49))</f>
        <v>489616.16572524689</v>
      </c>
      <c r="AI50" s="358">
        <f t="shared" si="12"/>
        <v>38</v>
      </c>
      <c r="AJ50" s="359">
        <f>(('Methane Leakage'!$G$6/'Methane Leakage'!$G$5)*102*'Emissions Factors'!$D$10*'Calcs - Power'!$G49+'Emissions Factors'!$D$11*('Calcs - Power'!$H49+'Calcs - Power'!$I49+'Calcs - Power'!$J49+'Calcs - Power'!$K49))</f>
        <v>2116.1855917907483</v>
      </c>
      <c r="AK50" s="366">
        <f>(('Methane Leakage'!$G$6/'Methane Leakage'!$G$5)*102*'Emissions Factors'!$D$10*'Calcs - Power'!$B49+'Emissions Factors'!$D$11*('Calcs - Power'!$C49+'Calcs - Power'!$D49+'Calcs - Power'!$E49+'Calcs - Power'!$F49))</f>
        <v>48937.896434734605</v>
      </c>
      <c r="AL50" s="359">
        <f>(102*'Emissions Factors'!$E$10*'Calcs - Power'!$G49+'Emissions Factors'!$E$11*('Calcs - Power'!H49+'Calcs - Power'!I49+'Calcs - Power'!J49+'Calcs - Power'!K49))</f>
        <v>2085.327400715666</v>
      </c>
      <c r="AM50" s="366">
        <f>(102*'Emissions Factors'!$E$10*'Calcs - Power'!$B49+'Emissions Factors'!$E$11*('Calcs - Power'!C49+'Calcs - Power'!D49+'Calcs - Power'!E49+'Calcs - Power'!F49))</f>
        <v>44424.044639657193</v>
      </c>
      <c r="AN50" s="359">
        <f>(102*'Emissions Factors'!$D$10*'Calcs - Power'!$G49+'Emissions Factors'!$D$11*('Calcs - Power'!$H49+'Calcs - Power'!$I49+'Calcs - Power'!$J49+'Calcs - Power'!$K49))</f>
        <v>2116.1855917907483</v>
      </c>
      <c r="AO50" s="366">
        <f>(102*'Emissions Factors'!$D$10*'Calcs - Power'!$B49+'Emissions Factors'!$D$11*('Calcs - Power'!$C49+'Calcs - Power'!$D49+'Calcs - Power'!$E49+'Calcs - Power'!$F49))</f>
        <v>48937.896434734605</v>
      </c>
      <c r="AP50" s="367">
        <f>(102*'Emissions Factors'!$E$10*'Calcs - Power'!$G49+'Emissions Factors'!$E$11*('Calcs - Power'!H49+'Calcs - Power'!I49+'Calcs - Power'!J49+'Calcs - Power'!K49))</f>
        <v>2085.327400715666</v>
      </c>
      <c r="AQ50" s="366">
        <f>(102*'Emissions Factors'!$E$10*'Calcs - Power'!$B49+'Emissions Factors'!$E$11*('Calcs - Power'!C49+'Calcs - Power'!D49+'Calcs - Power'!E49+'Calcs - Power'!F49))</f>
        <v>44424.044639657193</v>
      </c>
      <c r="AS50" s="357"/>
      <c r="AT50" s="357"/>
      <c r="AU50" s="357"/>
      <c r="AV50" s="357"/>
      <c r="AX50" s="358">
        <f t="shared" si="13"/>
        <v>38</v>
      </c>
      <c r="AY50" s="359">
        <f>(('Methane Leakage'!$G$6/'Methane Leakage'!$G$5)*102*'Emissions Factors'!$F$10*'Calcs - Power'!$G49+'Emissions Factors'!$F$11*('Calcs - Power'!$H49+'Calcs - Power'!$I49+'Calcs - Power'!$J49+'Calcs - Power'!$K49))</f>
        <v>2757302.6504359916</v>
      </c>
      <c r="AZ50" s="366">
        <f>(('Methane Leakage'!$G$6/'Methane Leakage'!$G$5)*102*'Emissions Factors'!$F$10*'Calcs - Power'!$B49+'Emissions Factors'!$F$11*('Calcs - Power'!$C49+'Calcs - Power'!$D49+'Calcs - Power'!$E49+'Calcs - Power'!$F49))</f>
        <v>62433422.421474218</v>
      </c>
      <c r="BA50" s="359">
        <f>(102*'Emissions Factors'!$G$10*'Calcs - Power'!$G49+'Emissions Factors'!$G$11*('Calcs - Power'!H49+'Calcs - Power'!I49+'Calcs - Power'!J49+'Calcs - Power'!K49))</f>
        <v>2392787.1595894434</v>
      </c>
      <c r="BB50" s="366">
        <f>(102*'Emissions Factors'!$G$10*'Calcs - Power'!$B49+'Emissions Factors'!$G$11*('Calcs - Power'!C49+'Calcs - Power'!D49+'Calcs - Power'!E49+'Calcs - Power'!F49))</f>
        <v>50805858.781266809</v>
      </c>
      <c r="BC50" s="359">
        <f>(102*'Emissions Factors'!$F$10*'Calcs - Power'!$G49+'Emissions Factors'!$F$11*('Calcs - Power'!$H49+'Calcs - Power'!$I49+'Calcs - Power'!$J49+'Calcs - Power'!$K49))</f>
        <v>2757302.6504359916</v>
      </c>
      <c r="BD50" s="366">
        <f>(102*'Emissions Factors'!$F$10*'Calcs - Power'!$B49+'Emissions Factors'!$F$11*('Calcs - Power'!$C49+'Calcs - Power'!$D49+'Calcs - Power'!$E49+'Calcs - Power'!$F49))</f>
        <v>62433422.421474218</v>
      </c>
      <c r="BE50" s="359">
        <f>(102*'Emissions Factors'!$G$10*'Calcs - Power'!$G49+'Emissions Factors'!$G$11*('Calcs - Power'!H49+'Calcs - Power'!I49+'Calcs - Power'!J49+'Calcs - Power'!K49))</f>
        <v>2392787.1595894434</v>
      </c>
      <c r="BF50" s="366">
        <f>(102*'Emissions Factors'!$G$10*'Calcs - Power'!$B49+'Emissions Factors'!$G$11*('Calcs - Power'!C49+'Calcs - Power'!D49+'Calcs - Power'!E49+'Calcs - Power'!F49))</f>
        <v>50805858.781266809</v>
      </c>
    </row>
    <row r="51" spans="1:58" x14ac:dyDescent="0.3">
      <c r="A51" s="351">
        <f t="shared" si="10"/>
        <v>39</v>
      </c>
      <c r="B51" s="352">
        <f t="shared" si="0"/>
        <v>1</v>
      </c>
      <c r="C51" s="363">
        <f t="shared" si="1"/>
        <v>0.99999999999999978</v>
      </c>
      <c r="D51" s="352">
        <f t="shared" si="2"/>
        <v>1</v>
      </c>
      <c r="E51" s="364">
        <f t="shared" si="3"/>
        <v>1</v>
      </c>
      <c r="F51" s="364">
        <f t="shared" si="4"/>
        <v>1</v>
      </c>
      <c r="G51" s="365">
        <f t="shared" si="5"/>
        <v>1</v>
      </c>
      <c r="P51" s="358">
        <f t="shared" si="11"/>
        <v>39</v>
      </c>
      <c r="Q51" s="359">
        <f>(('Methane Leakage'!$C$6/'Methane Leakage'!$C$5)*102*'Emissions Factors'!$C$38*'Calcs - Power'!$G50+'Emissions Factors'!$C$37*('Calcs - Power'!$H50+'Calcs - Power'!$I50+'Calcs - Power'!$J50+'Calcs - Power'!$K50))</f>
        <v>14911.087446161313</v>
      </c>
      <c r="R51" s="366">
        <f>(('Methane Leakage'!$C$6/'Methane Leakage'!$C$5)*102*'Emissions Factors'!$C$38*'Calcs - Power'!$B50+'Emissions Factors'!$C$37*('Calcs - Power'!$C50+'Calcs - Power'!$D50+'Calcs - Power'!$E50+'Calcs - Power'!$F50))</f>
        <v>347532.41765984788</v>
      </c>
      <c r="S51" s="359">
        <f>(('Methane Leakage'!$C$6/'Methane Leakage'!$C$5)*102*'Emissions Factors'!$D$38*'Calcs - Power'!$G50+'Emissions Factors'!$D$37*('Calcs - Power'!$H50+'Calcs - Power'!$I50+'Calcs - Power'!$J50+'Calcs - Power'!$K50))</f>
        <v>14911.087446161313</v>
      </c>
      <c r="T51" s="366">
        <f>(('Methane Leakage'!$C$6/'Methane Leakage'!$C$5)*102*'Emissions Factors'!$D$38*'Calcs - Power'!$B50+'Emissions Factors'!$D$37*('Calcs - Power'!$C50+'Calcs - Power'!$D50+'Calcs - Power'!$E50+'Calcs - Power'!$F50))</f>
        <v>347532.41765984788</v>
      </c>
      <c r="U51" s="361">
        <f>(102*'Emissions Factors'!$C$36*'Calcs - Power'!$G50+'Emissions Factors'!$C$35*('Calcs - Power'!$H50+'Calcs - Power'!$I50+'Calcs - Power'!$J50+'Calcs - Power'!$K50))</f>
        <v>23588.009115427019</v>
      </c>
      <c r="V51" s="366">
        <f>(102*'Emissions Factors'!$C$36*'Calcs - Power'!$B50+'Emissions Factors'!$C$35*('Calcs - Power'!$C50+'Calcs - Power'!$D50+'Calcs - Power'!$E50+'Calcs - Power'!$F50))</f>
        <v>512975.14087901596</v>
      </c>
      <c r="W51" s="359">
        <f>(102*'Emissions Factors'!$D$36*'Calcs - Power'!$G50+'Emissions Factors'!$D$35*('Calcs - Power'!$H50+'Calcs - Power'!$I50+'Calcs - Power'!$J50+'Calcs - Power'!$K50))</f>
        <v>23588.009115427019</v>
      </c>
      <c r="X51" s="366">
        <f>(102*'Emissions Factors'!$D$36*'Calcs - Power'!$B50+'Emissions Factors'!$D$35*('Calcs - Power'!$C50+'Calcs - Power'!$D50+'Calcs - Power'!$E50+'Calcs - Power'!$F50))</f>
        <v>512975.14087901596</v>
      </c>
      <c r="Y51" s="359">
        <f>(102*'Emissions Factors'!$C$38*'Calcs - Power'!$G50+'Emissions Factors'!$C$37*('Calcs - Power'!$H50+'Calcs - Power'!$I50+'Calcs - Power'!$J50+'Calcs - Power'!$K50))</f>
        <v>14911.087446161313</v>
      </c>
      <c r="Z51" s="366">
        <f>(102*'Emissions Factors'!$C$38*'Calcs - Power'!$B50+'Emissions Factors'!$C$37*('Calcs - Power'!$C50+'Calcs - Power'!$D50+'Calcs - Power'!$E50+'Calcs - Power'!$F50))</f>
        <v>347532.41765984788</v>
      </c>
      <c r="AA51" s="359">
        <f>(102*'Emissions Factors'!$C$36*'Calcs - Power'!$G50+'Emissions Factors'!$C$35*('Calcs - Power'!$H50+'Calcs - Power'!$I50+'Calcs - Power'!$J50+'Calcs - Power'!$K50))</f>
        <v>23588.009115427019</v>
      </c>
      <c r="AB51" s="366">
        <f>(102*'Emissions Factors'!$C$36*'Calcs - Power'!$B50+'Emissions Factors'!$C$35*('Calcs - Power'!$C50+'Calcs - Power'!$D50+'Calcs - Power'!$E50+'Calcs - Power'!$F50))</f>
        <v>512975.14087901596</v>
      </c>
      <c r="AI51" s="358">
        <f t="shared" si="12"/>
        <v>39</v>
      </c>
      <c r="AJ51" s="359">
        <f>(('Methane Leakage'!$G$6/'Methane Leakage'!$G$5)*102*'Emissions Factors'!$D$10*'Calcs - Power'!$G50+'Emissions Factors'!$D$11*('Calcs - Power'!$H50+'Calcs - Power'!$I50+'Calcs - Power'!$J50+'Calcs - Power'!$K50))</f>
        <v>2147.7639276985301</v>
      </c>
      <c r="AK51" s="366">
        <f>(('Methane Leakage'!$G$6/'Methane Leakage'!$G$5)*102*'Emissions Factors'!$D$10*'Calcs - Power'!$B50+'Emissions Factors'!$D$11*('Calcs - Power'!$C50+'Calcs - Power'!$D50+'Calcs - Power'!$E50+'Calcs - Power'!$F50))</f>
        <v>51069.906288175553</v>
      </c>
      <c r="AL51" s="359">
        <f>(102*'Emissions Factors'!$E$10*'Calcs - Power'!$G50+'Emissions Factors'!$E$11*('Calcs - Power'!H50+'Calcs - Power'!I50+'Calcs - Power'!J50+'Calcs - Power'!K50))</f>
        <v>2125.9779455990301</v>
      </c>
      <c r="AM51" s="366">
        <f>(102*'Emissions Factors'!$E$10*'Calcs - Power'!$B50+'Emissions Factors'!$E$11*('Calcs - Power'!C50+'Calcs - Power'!D50+'Calcs - Power'!E50+'Calcs - Power'!F50))</f>
        <v>46529.725338550772</v>
      </c>
      <c r="AN51" s="359">
        <f>(102*'Emissions Factors'!$D$10*'Calcs - Power'!$G50+'Emissions Factors'!$D$11*('Calcs - Power'!$H50+'Calcs - Power'!$I50+'Calcs - Power'!$J50+'Calcs - Power'!$K50))</f>
        <v>2147.7639276985301</v>
      </c>
      <c r="AO51" s="366">
        <f>(102*'Emissions Factors'!$D$10*'Calcs - Power'!$B50+'Emissions Factors'!$D$11*('Calcs - Power'!$C50+'Calcs - Power'!$D50+'Calcs - Power'!$E50+'Calcs - Power'!$F50))</f>
        <v>51069.906288175553</v>
      </c>
      <c r="AP51" s="367">
        <f>(102*'Emissions Factors'!$E$10*'Calcs - Power'!$G50+'Emissions Factors'!$E$11*('Calcs - Power'!H50+'Calcs - Power'!I50+'Calcs - Power'!J50+'Calcs - Power'!K50))</f>
        <v>2125.9779455990301</v>
      </c>
      <c r="AQ51" s="366">
        <f>(102*'Emissions Factors'!$E$10*'Calcs - Power'!$B50+'Emissions Factors'!$E$11*('Calcs - Power'!C50+'Calcs - Power'!D50+'Calcs - Power'!E50+'Calcs - Power'!F50))</f>
        <v>46529.725338550772</v>
      </c>
      <c r="AS51" s="357"/>
      <c r="AT51" s="357"/>
      <c r="AU51" s="357"/>
      <c r="AV51" s="357"/>
      <c r="AX51" s="358">
        <f t="shared" si="13"/>
        <v>39</v>
      </c>
      <c r="AY51" s="359">
        <f>(('Methane Leakage'!$G$6/'Methane Leakage'!$G$5)*102*'Emissions Factors'!$F$10*'Calcs - Power'!$G50+'Emissions Factors'!$F$11*('Calcs - Power'!$H50+'Calcs - Power'!$I50+'Calcs - Power'!$J50+'Calcs - Power'!$K50))</f>
        <v>2801785.7569238949</v>
      </c>
      <c r="AZ51" s="366">
        <f>(('Methane Leakage'!$G$6/'Methane Leakage'!$G$5)*102*'Emissions Factors'!$F$10*'Calcs - Power'!$B50+'Emissions Factors'!$F$11*('Calcs - Power'!$C50+'Calcs - Power'!$D50+'Calcs - Power'!$E50+'Calcs - Power'!$F50))</f>
        <v>65213010.055155963</v>
      </c>
      <c r="BA51" s="359">
        <f>(102*'Emissions Factors'!$G$10*'Calcs - Power'!$G50+'Emissions Factors'!$G$11*('Calcs - Power'!H50+'Calcs - Power'!I50+'Calcs - Power'!J50+'Calcs - Power'!K50))</f>
        <v>2439852.7406363324</v>
      </c>
      <c r="BB51" s="366">
        <f>(102*'Emissions Factors'!$G$10*'Calcs - Power'!$B50+'Emissions Factors'!$G$11*('Calcs - Power'!C50+'Calcs - Power'!D50+'Calcs - Power'!E50+'Calcs - Power'!F50))</f>
        <v>53222210.599300347</v>
      </c>
      <c r="BC51" s="359">
        <f>(102*'Emissions Factors'!$F$10*'Calcs - Power'!$G50+'Emissions Factors'!$F$11*('Calcs - Power'!$H50+'Calcs - Power'!$I50+'Calcs - Power'!$J50+'Calcs - Power'!$K50))</f>
        <v>2801785.7569238949</v>
      </c>
      <c r="BD51" s="366">
        <f>(102*'Emissions Factors'!$F$10*'Calcs - Power'!$B50+'Emissions Factors'!$F$11*('Calcs - Power'!$C50+'Calcs - Power'!$D50+'Calcs - Power'!$E50+'Calcs - Power'!$F50))</f>
        <v>65213010.055155963</v>
      </c>
      <c r="BE51" s="359">
        <f>(102*'Emissions Factors'!$G$10*'Calcs - Power'!$G50+'Emissions Factors'!$G$11*('Calcs - Power'!H50+'Calcs - Power'!I50+'Calcs - Power'!J50+'Calcs - Power'!K50))</f>
        <v>2439852.7406363324</v>
      </c>
      <c r="BF51" s="366">
        <f>(102*'Emissions Factors'!$G$10*'Calcs - Power'!$B50+'Emissions Factors'!$G$11*('Calcs - Power'!C50+'Calcs - Power'!D50+'Calcs - Power'!E50+'Calcs - Power'!F50))</f>
        <v>53222210.599300347</v>
      </c>
    </row>
    <row r="52" spans="1:58" x14ac:dyDescent="0.3">
      <c r="A52" s="351">
        <f t="shared" si="10"/>
        <v>40</v>
      </c>
      <c r="B52" s="352">
        <f t="shared" si="0"/>
        <v>0.99999999999999989</v>
      </c>
      <c r="C52" s="363">
        <f t="shared" si="1"/>
        <v>0.99999999999999978</v>
      </c>
      <c r="D52" s="352">
        <f t="shared" si="2"/>
        <v>1</v>
      </c>
      <c r="E52" s="364">
        <f t="shared" si="3"/>
        <v>1</v>
      </c>
      <c r="F52" s="364">
        <f t="shared" si="4"/>
        <v>1</v>
      </c>
      <c r="G52" s="365">
        <f t="shared" si="5"/>
        <v>1</v>
      </c>
      <c r="P52" s="358">
        <f t="shared" si="11"/>
        <v>40</v>
      </c>
      <c r="Q52" s="359">
        <f>(('Methane Leakage'!$C$6/'Methane Leakage'!$C$5)*102*'Emissions Factors'!$C$38*'Calcs - Power'!$G51+'Emissions Factors'!$C$37*('Calcs - Power'!$H51+'Calcs - Power'!$I51+'Calcs - Power'!$J51+'Calcs - Power'!$K51))</f>
        <v>15144.023620792403</v>
      </c>
      <c r="R52" s="366">
        <f>(('Methane Leakage'!$C$6/'Methane Leakage'!$C$5)*102*'Emissions Factors'!$C$38*'Calcs - Power'!$B51+'Emissions Factors'!$C$37*('Calcs - Power'!$C51+'Calcs - Power'!$D51+'Calcs - Power'!$E51+'Calcs - Power'!$F51))</f>
        <v>362560.19257384486</v>
      </c>
      <c r="S52" s="359">
        <f>(('Methane Leakage'!$C$6/'Methane Leakage'!$C$5)*102*'Emissions Factors'!$D$38*'Calcs - Power'!$G51+'Emissions Factors'!$D$37*('Calcs - Power'!$H51+'Calcs - Power'!$I51+'Calcs - Power'!$J51+'Calcs - Power'!$K51))</f>
        <v>15144.023620792403</v>
      </c>
      <c r="T52" s="366">
        <f>(('Methane Leakage'!$C$6/'Methane Leakage'!$C$5)*102*'Emissions Factors'!$D$38*'Calcs - Power'!$B51+'Emissions Factors'!$D$37*('Calcs - Power'!$C51+'Calcs - Power'!$D51+'Calcs - Power'!$E51+'Calcs - Power'!$F51))</f>
        <v>362560.19257384486</v>
      </c>
      <c r="U52" s="361">
        <f>(102*'Emissions Factors'!$C$36*'Calcs - Power'!$G51+'Emissions Factors'!$C$35*('Calcs - Power'!$H51+'Calcs - Power'!$I51+'Calcs - Power'!$J51+'Calcs - Power'!$K51))</f>
        <v>24043.095450801306</v>
      </c>
      <c r="V52" s="366">
        <f>(102*'Emissions Factors'!$C$36*'Calcs - Power'!$B51+'Emissions Factors'!$C$35*('Calcs - Power'!$C51+'Calcs - Power'!$D51+'Calcs - Power'!$E51+'Calcs - Power'!$F51))</f>
        <v>536790.98653170525</v>
      </c>
      <c r="W52" s="359">
        <f>(102*'Emissions Factors'!$D$36*'Calcs - Power'!$G51+'Emissions Factors'!$D$35*('Calcs - Power'!$H51+'Calcs - Power'!$I51+'Calcs - Power'!$J51+'Calcs - Power'!$K51))</f>
        <v>24043.095450801306</v>
      </c>
      <c r="X52" s="366">
        <f>(102*'Emissions Factors'!$D$36*'Calcs - Power'!$B51+'Emissions Factors'!$D$35*('Calcs - Power'!$C51+'Calcs - Power'!$D51+'Calcs - Power'!$E51+'Calcs - Power'!$F51))</f>
        <v>536790.98653170525</v>
      </c>
      <c r="Y52" s="359">
        <f>(102*'Emissions Factors'!$C$38*'Calcs - Power'!$G51+'Emissions Factors'!$C$37*('Calcs - Power'!$H51+'Calcs - Power'!$I51+'Calcs - Power'!$J51+'Calcs - Power'!$K51))</f>
        <v>15144.023620792403</v>
      </c>
      <c r="Z52" s="366">
        <f>(102*'Emissions Factors'!$C$38*'Calcs - Power'!$B51+'Emissions Factors'!$C$37*('Calcs - Power'!$C51+'Calcs - Power'!$D51+'Calcs - Power'!$E51+'Calcs - Power'!$F51))</f>
        <v>362560.19257384486</v>
      </c>
      <c r="AA52" s="359">
        <f>(102*'Emissions Factors'!$C$36*'Calcs - Power'!$G51+'Emissions Factors'!$C$35*('Calcs - Power'!$H51+'Calcs - Power'!$I51+'Calcs - Power'!$J51+'Calcs - Power'!$K51))</f>
        <v>24043.095450801306</v>
      </c>
      <c r="AB52" s="366">
        <f>(102*'Emissions Factors'!$C$36*'Calcs - Power'!$B51+'Emissions Factors'!$C$35*('Calcs - Power'!$C51+'Calcs - Power'!$D51+'Calcs - Power'!$E51+'Calcs - Power'!$F51))</f>
        <v>536790.98653170525</v>
      </c>
      <c r="AI52" s="358">
        <f t="shared" si="12"/>
        <v>40</v>
      </c>
      <c r="AJ52" s="359">
        <f>(('Methane Leakage'!$G$6/'Methane Leakage'!$G$5)*102*'Emissions Factors'!$D$10*'Calcs - Power'!$G51+'Emissions Factors'!$D$11*('Calcs - Power'!$H51+'Calcs - Power'!$I51+'Calcs - Power'!$J51+'Calcs - Power'!$K51))</f>
        <v>2178.9333660389507</v>
      </c>
      <c r="AK52" s="366">
        <f>(('Methane Leakage'!$G$6/'Methane Leakage'!$G$5)*102*'Emissions Factors'!$D$10*'Calcs - Power'!$B51+'Emissions Factors'!$D$11*('Calcs - Power'!$C51+'Calcs - Power'!$D51+'Calcs - Power'!$E51+'Calcs - Power'!$F51))</f>
        <v>53233.288010552533</v>
      </c>
      <c r="AL52" s="359">
        <f>(102*'Emissions Factors'!$E$10*'Calcs - Power'!$G51+'Emissions Factors'!$E$11*('Calcs - Power'!H51+'Calcs - Power'!I51+'Calcs - Power'!J51+'Calcs - Power'!K51))</f>
        <v>2166.2991556279076</v>
      </c>
      <c r="AM52" s="366">
        <f>(102*'Emissions Factors'!$E$10*'Calcs - Power'!$B51+'Emissions Factors'!$E$11*('Calcs - Power'!C51+'Calcs - Power'!D51+'Calcs - Power'!E51+'Calcs - Power'!F51))</f>
        <v>48675.890761503433</v>
      </c>
      <c r="AN52" s="359">
        <f>(102*'Emissions Factors'!$D$10*'Calcs - Power'!$G51+'Emissions Factors'!$D$11*('Calcs - Power'!$H51+'Calcs - Power'!$I51+'Calcs - Power'!$J51+'Calcs - Power'!$K51))</f>
        <v>2178.9333660389507</v>
      </c>
      <c r="AO52" s="366">
        <f>(102*'Emissions Factors'!$D$10*'Calcs - Power'!$B51+'Emissions Factors'!$D$11*('Calcs - Power'!$C51+'Calcs - Power'!$D51+'Calcs - Power'!$E51+'Calcs - Power'!$F51))</f>
        <v>53233.288010552533</v>
      </c>
      <c r="AP52" s="367">
        <f>(102*'Emissions Factors'!$E$10*'Calcs - Power'!$G51+'Emissions Factors'!$E$11*('Calcs - Power'!H51+'Calcs - Power'!I51+'Calcs - Power'!J51+'Calcs - Power'!K51))</f>
        <v>2166.2991556279076</v>
      </c>
      <c r="AQ52" s="366">
        <f>(102*'Emissions Factors'!$E$10*'Calcs - Power'!$B51+'Emissions Factors'!$E$11*('Calcs - Power'!C51+'Calcs - Power'!D51+'Calcs - Power'!E51+'Calcs - Power'!F51))</f>
        <v>48675.890761503433</v>
      </c>
      <c r="AS52" s="357"/>
      <c r="AT52" s="357"/>
      <c r="AU52" s="357"/>
      <c r="AV52" s="357"/>
      <c r="AX52" s="358">
        <f t="shared" si="13"/>
        <v>40</v>
      </c>
      <c r="AY52" s="359">
        <f>(('Methane Leakage'!$G$6/'Methane Leakage'!$G$5)*102*'Emissions Factors'!$F$10*'Calcs - Power'!$G51+'Emissions Factors'!$F$11*('Calcs - Power'!$H51+'Calcs - Power'!$I51+'Calcs - Power'!$J51+'Calcs - Power'!$K51))</f>
        <v>2845761.8575674323</v>
      </c>
      <c r="AZ52" s="366">
        <f>(('Methane Leakage'!$G$6/'Methane Leakage'!$G$5)*102*'Emissions Factors'!$F$10*'Calcs - Power'!$B51+'Emissions Factors'!$F$11*('Calcs - Power'!$C51+'Calcs - Power'!$D51+'Calcs - Power'!$E51+'Calcs - Power'!$F51))</f>
        <v>68036824.955286518</v>
      </c>
      <c r="BA52" s="359">
        <f>(102*'Emissions Factors'!$G$10*'Calcs - Power'!$G51+'Emissions Factors'!$G$11*('Calcs - Power'!H51+'Calcs - Power'!I51+'Calcs - Power'!J51+'Calcs - Power'!K51))</f>
        <v>2486543.6844597845</v>
      </c>
      <c r="BB52" s="366">
        <f>(102*'Emissions Factors'!$G$10*'Calcs - Power'!$B51+'Emissions Factors'!$G$11*('Calcs - Power'!C51+'Calcs - Power'!D51+'Calcs - Power'!E51+'Calcs - Power'!F51))</f>
        <v>55685439.393255576</v>
      </c>
      <c r="BC52" s="359">
        <f>(102*'Emissions Factors'!$F$10*'Calcs - Power'!$G51+'Emissions Factors'!$F$11*('Calcs - Power'!$H51+'Calcs - Power'!$I51+'Calcs - Power'!$J51+'Calcs - Power'!$K51))</f>
        <v>2845761.8575674323</v>
      </c>
      <c r="BD52" s="366">
        <f>(102*'Emissions Factors'!$F$10*'Calcs - Power'!$B51+'Emissions Factors'!$F$11*('Calcs - Power'!$C51+'Calcs - Power'!$D51+'Calcs - Power'!$E51+'Calcs - Power'!$F51))</f>
        <v>68036824.955286518</v>
      </c>
      <c r="BE52" s="359">
        <f>(102*'Emissions Factors'!$G$10*'Calcs - Power'!$G51+'Emissions Factors'!$G$11*('Calcs - Power'!H51+'Calcs - Power'!I51+'Calcs - Power'!J51+'Calcs - Power'!K51))</f>
        <v>2486543.6844597845</v>
      </c>
      <c r="BF52" s="366">
        <f>(102*'Emissions Factors'!$G$10*'Calcs - Power'!$B51+'Emissions Factors'!$G$11*('Calcs - Power'!C51+'Calcs - Power'!D51+'Calcs - Power'!E51+'Calcs - Power'!F51))</f>
        <v>55685439.393255576</v>
      </c>
    </row>
    <row r="53" spans="1:58" x14ac:dyDescent="0.3">
      <c r="A53" s="351">
        <f t="shared" si="10"/>
        <v>41</v>
      </c>
      <c r="B53" s="352">
        <f t="shared" si="0"/>
        <v>0.99999999999999989</v>
      </c>
      <c r="C53" s="363">
        <f t="shared" si="1"/>
        <v>0.99999999999999978</v>
      </c>
      <c r="D53" s="352">
        <f t="shared" si="2"/>
        <v>1</v>
      </c>
      <c r="E53" s="364">
        <f t="shared" si="3"/>
        <v>1</v>
      </c>
      <c r="F53" s="364">
        <f t="shared" si="4"/>
        <v>1</v>
      </c>
      <c r="G53" s="365">
        <f t="shared" si="5"/>
        <v>1</v>
      </c>
      <c r="P53" s="358">
        <f t="shared" si="11"/>
        <v>41</v>
      </c>
      <c r="Q53" s="359">
        <f>(('Methane Leakage'!$C$6/'Methane Leakage'!$C$5)*102*'Emissions Factors'!$C$38*'Calcs - Power'!$G52+'Emissions Factors'!$C$37*('Calcs - Power'!$H52+'Calcs - Power'!$I52+'Calcs - Power'!$J52+'Calcs - Power'!$K52))</f>
        <v>15374.397994622232</v>
      </c>
      <c r="R53" s="366">
        <f>(('Methane Leakage'!$C$6/'Methane Leakage'!$C$5)*102*'Emissions Factors'!$C$38*'Calcs - Power'!$B52+'Emissions Factors'!$C$37*('Calcs - Power'!$C52+'Calcs - Power'!$D52+'Calcs - Power'!$E52+'Calcs - Power'!$F52))</f>
        <v>377819.61107720528</v>
      </c>
      <c r="S53" s="359">
        <f>(('Methane Leakage'!$C$6/'Methane Leakage'!$C$5)*102*'Emissions Factors'!$D$38*'Calcs - Power'!$G52+'Emissions Factors'!$D$37*('Calcs - Power'!$H52+'Calcs - Power'!$I52+'Calcs - Power'!$J52+'Calcs - Power'!$K52))</f>
        <v>15374.397994622232</v>
      </c>
      <c r="T53" s="366">
        <f>(('Methane Leakage'!$C$6/'Methane Leakage'!$C$5)*102*'Emissions Factors'!$D$38*'Calcs - Power'!$B52+'Emissions Factors'!$D$37*('Calcs - Power'!$C52+'Calcs - Power'!$D52+'Calcs - Power'!$E52+'Calcs - Power'!$F52))</f>
        <v>377819.61107720528</v>
      </c>
      <c r="U53" s="361">
        <f>(102*'Emissions Factors'!$C$36*'Calcs - Power'!$G52+'Emissions Factors'!$C$35*('Calcs - Power'!$H52+'Calcs - Power'!$I52+'Calcs - Power'!$J52+'Calcs - Power'!$K52))</f>
        <v>24494.730560538494</v>
      </c>
      <c r="V53" s="366">
        <f>(102*'Emissions Factors'!$C$36*'Calcs - Power'!$B52+'Emissions Factors'!$C$35*('Calcs - Power'!$C52+'Calcs - Power'!$D52+'Calcs - Power'!$E52+'Calcs - Power'!$F52))</f>
        <v>561060.18145735981</v>
      </c>
      <c r="W53" s="359">
        <f>(102*'Emissions Factors'!$D$36*'Calcs - Power'!$G52+'Emissions Factors'!$D$35*('Calcs - Power'!$H52+'Calcs - Power'!$I52+'Calcs - Power'!$J52+'Calcs - Power'!$K52))</f>
        <v>24494.730560538494</v>
      </c>
      <c r="X53" s="366">
        <f>(102*'Emissions Factors'!$D$36*'Calcs - Power'!$B52+'Emissions Factors'!$D$35*('Calcs - Power'!$C52+'Calcs - Power'!$D52+'Calcs - Power'!$E52+'Calcs - Power'!$F52))</f>
        <v>561060.18145735981</v>
      </c>
      <c r="Y53" s="359">
        <f>(102*'Emissions Factors'!$C$38*'Calcs - Power'!$G52+'Emissions Factors'!$C$37*('Calcs - Power'!$H52+'Calcs - Power'!$I52+'Calcs - Power'!$J52+'Calcs - Power'!$K52))</f>
        <v>15374.397994622232</v>
      </c>
      <c r="Z53" s="366">
        <f>(102*'Emissions Factors'!$C$38*'Calcs - Power'!$B52+'Emissions Factors'!$C$37*('Calcs - Power'!$C52+'Calcs - Power'!$D52+'Calcs - Power'!$E52+'Calcs - Power'!$F52))</f>
        <v>377819.61107720528</v>
      </c>
      <c r="AA53" s="359">
        <f>(102*'Emissions Factors'!$C$36*'Calcs - Power'!$G52+'Emissions Factors'!$C$35*('Calcs - Power'!$H52+'Calcs - Power'!$I52+'Calcs - Power'!$J52+'Calcs - Power'!$K52))</f>
        <v>24494.730560538494</v>
      </c>
      <c r="AB53" s="366">
        <f>(102*'Emissions Factors'!$C$36*'Calcs - Power'!$B52+'Emissions Factors'!$C$35*('Calcs - Power'!$C52+'Calcs - Power'!$D52+'Calcs - Power'!$E52+'Calcs - Power'!$F52))</f>
        <v>561060.18145735981</v>
      </c>
      <c r="AI53" s="358">
        <f t="shared" si="12"/>
        <v>41</v>
      </c>
      <c r="AJ53" s="359">
        <f>(('Methane Leakage'!$G$6/'Methane Leakage'!$G$5)*102*'Emissions Factors'!$D$10*'Calcs - Power'!$G52+'Emissions Factors'!$D$11*('Calcs - Power'!$H52+'Calcs - Power'!$I52+'Calcs - Power'!$J52+'Calcs - Power'!$K52))</f>
        <v>2209.7172667519008</v>
      </c>
      <c r="AK53" s="366">
        <f>(('Methane Leakage'!$G$6/'Methane Leakage'!$G$5)*102*'Emissions Factors'!$D$10*'Calcs - Power'!$B52+'Emissions Factors'!$D$11*('Calcs - Power'!$C52+'Calcs - Power'!$D52+'Calcs - Power'!$E52+'Calcs - Power'!$F52))</f>
        <v>55427.64452587816</v>
      </c>
      <c r="AL53" s="359">
        <f>(102*'Emissions Factors'!$E$10*'Calcs - Power'!$G52+'Emissions Factors'!$E$11*('Calcs - Power'!H52+'Calcs - Power'!I52+'Calcs - Power'!J52+'Calcs - Power'!K52))</f>
        <v>2206.3044786174451</v>
      </c>
      <c r="AM53" s="366">
        <f>(102*'Emissions Factors'!$E$10*'Calcs - Power'!$B52+'Emissions Factors'!$E$11*('Calcs - Power'!C52+'Calcs - Power'!D52+'Calcs - Power'!E52+'Calcs - Power'!F52))</f>
        <v>50862.218362518281</v>
      </c>
      <c r="AN53" s="359">
        <f>(102*'Emissions Factors'!$D$10*'Calcs - Power'!$G52+'Emissions Factors'!$D$11*('Calcs - Power'!$H52+'Calcs - Power'!$I52+'Calcs - Power'!$J52+'Calcs - Power'!$K52))</f>
        <v>2209.7172667519008</v>
      </c>
      <c r="AO53" s="366">
        <f>(102*'Emissions Factors'!$D$10*'Calcs - Power'!$B52+'Emissions Factors'!$D$11*('Calcs - Power'!$C52+'Calcs - Power'!$D52+'Calcs - Power'!$E52+'Calcs - Power'!$F52))</f>
        <v>55427.64452587816</v>
      </c>
      <c r="AP53" s="367">
        <f>(102*'Emissions Factors'!$E$10*'Calcs - Power'!$G52+'Emissions Factors'!$E$11*('Calcs - Power'!H52+'Calcs - Power'!I52+'Calcs - Power'!J52+'Calcs - Power'!K52))</f>
        <v>2206.3044786174451</v>
      </c>
      <c r="AQ53" s="366">
        <f>(102*'Emissions Factors'!$E$10*'Calcs - Power'!$B52+'Emissions Factors'!$E$11*('Calcs - Power'!C52+'Calcs - Power'!D52+'Calcs - Power'!E52+'Calcs - Power'!F52))</f>
        <v>50862.218362518281</v>
      </c>
      <c r="AS53" s="357"/>
      <c r="AT53" s="357"/>
      <c r="AU53" s="357"/>
      <c r="AV53" s="357"/>
      <c r="AX53" s="358">
        <f t="shared" si="13"/>
        <v>41</v>
      </c>
      <c r="AY53" s="359">
        <f>(('Methane Leakage'!$G$6/'Methane Leakage'!$G$5)*102*'Emissions Factors'!$F$10*'Calcs - Power'!$G52+'Emissions Factors'!$F$11*('Calcs - Power'!$H52+'Calcs - Power'!$I52+'Calcs - Power'!$J52+'Calcs - Power'!$K52))</f>
        <v>2889258.0379823395</v>
      </c>
      <c r="AZ53" s="366">
        <f>(('Methane Leakage'!$G$6/'Methane Leakage'!$G$5)*102*'Emissions Factors'!$F$10*'Calcs - Power'!$B52+'Emissions Factors'!$F$11*('Calcs - Power'!$C52+'Calcs - Power'!$D52+'Calcs - Power'!$E52+'Calcs - Power'!$F52))</f>
        <v>70904373.817222208</v>
      </c>
      <c r="BA53" s="359">
        <f>(102*'Emissions Factors'!$G$10*'Calcs - Power'!$G52+'Emissions Factors'!$G$11*('Calcs - Power'!H52+'Calcs - Power'!I52+'Calcs - Power'!J52+'Calcs - Power'!K52))</f>
        <v>2532874.9983612611</v>
      </c>
      <c r="BB53" s="366">
        <f>(102*'Emissions Factors'!$G$10*'Calcs - Power'!$B52+'Emissions Factors'!$G$11*('Calcs - Power'!C52+'Calcs - Power'!D52+'Calcs - Power'!E52+'Calcs - Power'!F52))</f>
        <v>58195178.100787409</v>
      </c>
      <c r="BC53" s="359">
        <f>(102*'Emissions Factors'!$F$10*'Calcs - Power'!$G52+'Emissions Factors'!$F$11*('Calcs - Power'!$H52+'Calcs - Power'!$I52+'Calcs - Power'!$J52+'Calcs - Power'!$K52))</f>
        <v>2889258.0379823395</v>
      </c>
      <c r="BD53" s="366">
        <f>(102*'Emissions Factors'!$F$10*'Calcs - Power'!$B52+'Emissions Factors'!$F$11*('Calcs - Power'!$C52+'Calcs - Power'!$D52+'Calcs - Power'!$E52+'Calcs - Power'!$F52))</f>
        <v>70904373.817222208</v>
      </c>
      <c r="BE53" s="359">
        <f>(102*'Emissions Factors'!$G$10*'Calcs - Power'!$G52+'Emissions Factors'!$G$11*('Calcs - Power'!H52+'Calcs - Power'!I52+'Calcs - Power'!J52+'Calcs - Power'!K52))</f>
        <v>2532874.9983612611</v>
      </c>
      <c r="BF53" s="366">
        <f>(102*'Emissions Factors'!$G$10*'Calcs - Power'!$B52+'Emissions Factors'!$G$11*('Calcs - Power'!C52+'Calcs - Power'!D52+'Calcs - Power'!E52+'Calcs - Power'!F52))</f>
        <v>58195178.100787409</v>
      </c>
    </row>
    <row r="54" spans="1:58" x14ac:dyDescent="0.3">
      <c r="A54" s="351">
        <f t="shared" si="10"/>
        <v>42</v>
      </c>
      <c r="B54" s="352">
        <f t="shared" si="0"/>
        <v>1</v>
      </c>
      <c r="C54" s="363">
        <f t="shared" si="1"/>
        <v>0.99999999999999989</v>
      </c>
      <c r="D54" s="352">
        <f t="shared" si="2"/>
        <v>1</v>
      </c>
      <c r="E54" s="364">
        <f t="shared" si="3"/>
        <v>1</v>
      </c>
      <c r="F54" s="364">
        <f t="shared" si="4"/>
        <v>1</v>
      </c>
      <c r="G54" s="365">
        <f t="shared" si="5"/>
        <v>1</v>
      </c>
      <c r="P54" s="358">
        <f t="shared" si="11"/>
        <v>42</v>
      </c>
      <c r="Q54" s="359">
        <f>(('Methane Leakage'!$C$6/'Methane Leakage'!$C$5)*102*'Emissions Factors'!$C$38*'Calcs - Power'!$G53+'Emissions Factors'!$C$37*('Calcs - Power'!$H53+'Calcs - Power'!$I53+'Calcs - Power'!$J53+'Calcs - Power'!$K53))</f>
        <v>15602.345995373129</v>
      </c>
      <c r="R54" s="366">
        <f>(('Methane Leakage'!$C$6/'Methane Leakage'!$C$5)*102*'Emissions Factors'!$C$38*'Calcs - Power'!$B53+'Emissions Factors'!$C$37*('Calcs - Power'!$C53+'Calcs - Power'!$D53+'Calcs - Power'!$E53+'Calcs - Power'!$F53))</f>
        <v>393308.17987359606</v>
      </c>
      <c r="S54" s="359">
        <f>(('Methane Leakage'!$C$6/'Methane Leakage'!$C$5)*102*'Emissions Factors'!$D$38*'Calcs - Power'!$G53+'Emissions Factors'!$D$37*('Calcs - Power'!$H53+'Calcs - Power'!$I53+'Calcs - Power'!$J53+'Calcs - Power'!$K53))</f>
        <v>15602.345995373129</v>
      </c>
      <c r="T54" s="366">
        <f>(('Methane Leakage'!$C$6/'Methane Leakage'!$C$5)*102*'Emissions Factors'!$D$38*'Calcs - Power'!$B53+'Emissions Factors'!$D$37*('Calcs - Power'!$C53+'Calcs - Power'!$D53+'Calcs - Power'!$E53+'Calcs - Power'!$F53))</f>
        <v>393308.17987359606</v>
      </c>
      <c r="U54" s="361">
        <f>(102*'Emissions Factors'!$C$36*'Calcs - Power'!$G53+'Emissions Factors'!$C$35*('Calcs - Power'!$H53+'Calcs - Power'!$I53+'Calcs - Power'!$J53+'Calcs - Power'!$K53))</f>
        <v>24943.048084617192</v>
      </c>
      <c r="V54" s="366">
        <f>(102*'Emissions Factors'!$C$36*'Calcs - Power'!$B53+'Emissions Factors'!$C$35*('Calcs - Power'!$C53+'Calcs - Power'!$D53+'Calcs - Power'!$E53+'Calcs - Power'!$F53))</f>
        <v>585779.34187121934</v>
      </c>
      <c r="W54" s="359">
        <f>(102*'Emissions Factors'!$D$36*'Calcs - Power'!$G53+'Emissions Factors'!$D$35*('Calcs - Power'!$H53+'Calcs - Power'!$I53+'Calcs - Power'!$J53+'Calcs - Power'!$K53))</f>
        <v>24943.048084617192</v>
      </c>
      <c r="X54" s="366">
        <f>(102*'Emissions Factors'!$D$36*'Calcs - Power'!$B53+'Emissions Factors'!$D$35*('Calcs - Power'!$C53+'Calcs - Power'!$D53+'Calcs - Power'!$E53+'Calcs - Power'!$F53))</f>
        <v>585779.34187121934</v>
      </c>
      <c r="Y54" s="359">
        <f>(102*'Emissions Factors'!$C$38*'Calcs - Power'!$G53+'Emissions Factors'!$C$37*('Calcs - Power'!$H53+'Calcs - Power'!$I53+'Calcs - Power'!$J53+'Calcs - Power'!$K53))</f>
        <v>15602.345995373129</v>
      </c>
      <c r="Z54" s="366">
        <f>(102*'Emissions Factors'!$C$38*'Calcs - Power'!$B53+'Emissions Factors'!$C$37*('Calcs - Power'!$C53+'Calcs - Power'!$D53+'Calcs - Power'!$E53+'Calcs - Power'!$F53))</f>
        <v>393308.17987359606</v>
      </c>
      <c r="AA54" s="359">
        <f>(102*'Emissions Factors'!$C$36*'Calcs - Power'!$G53+'Emissions Factors'!$C$35*('Calcs - Power'!$H53+'Calcs - Power'!$I53+'Calcs - Power'!$J53+'Calcs - Power'!$K53))</f>
        <v>24943.048084617192</v>
      </c>
      <c r="AB54" s="366">
        <f>(102*'Emissions Factors'!$C$36*'Calcs - Power'!$B53+'Emissions Factors'!$C$35*('Calcs - Power'!$C53+'Calcs - Power'!$D53+'Calcs - Power'!$E53+'Calcs - Power'!$F53))</f>
        <v>585779.34187121934</v>
      </c>
      <c r="AI54" s="358">
        <f t="shared" si="12"/>
        <v>42</v>
      </c>
      <c r="AJ54" s="359">
        <f>(('Methane Leakage'!$G$6/'Methane Leakage'!$G$5)*102*'Emissions Factors'!$D$10*'Calcs - Power'!$G53+'Emissions Factors'!$D$11*('Calcs - Power'!$H53+'Calcs - Power'!$I53+'Calcs - Power'!$J53+'Calcs - Power'!$K53))</f>
        <v>2240.1373535621192</v>
      </c>
      <c r="AK54" s="366">
        <f>(('Methane Leakage'!$G$6/'Methane Leakage'!$G$5)*102*'Emissions Factors'!$D$10*'Calcs - Power'!$B53+'Emissions Factors'!$D$11*('Calcs - Power'!$C53+'Calcs - Power'!$D53+'Calcs - Power'!$E53+'Calcs - Power'!$F53))</f>
        <v>57652.601289588725</v>
      </c>
      <c r="AL54" s="359">
        <f>(102*'Emissions Factors'!$E$10*'Calcs - Power'!$G53+'Emissions Factors'!$E$11*('Calcs - Power'!H53+'Calcs - Power'!I53+'Calcs - Power'!J53+'Calcs - Power'!K53))</f>
        <v>2246.0066067786356</v>
      </c>
      <c r="AM54" s="366">
        <f>(102*'Emissions Factors'!$E$10*'Calcs - Power'!$B53+'Emissions Factors'!$E$11*('Calcs - Power'!C53+'Calcs - Power'!D53+'Calcs - Power'!E53+'Calcs - Power'!F53))</f>
        <v>53088.398661679908</v>
      </c>
      <c r="AN54" s="359">
        <f>(102*'Emissions Factors'!$D$10*'Calcs - Power'!$G53+'Emissions Factors'!$D$11*('Calcs - Power'!$H53+'Calcs - Power'!$I53+'Calcs - Power'!$J53+'Calcs - Power'!$K53))</f>
        <v>2240.1373535621192</v>
      </c>
      <c r="AO54" s="366">
        <f>(102*'Emissions Factors'!$D$10*'Calcs - Power'!$B53+'Emissions Factors'!$D$11*('Calcs - Power'!$C53+'Calcs - Power'!$D53+'Calcs - Power'!$E53+'Calcs - Power'!$F53))</f>
        <v>57652.601289588725</v>
      </c>
      <c r="AP54" s="367">
        <f>(102*'Emissions Factors'!$E$10*'Calcs - Power'!$G53+'Emissions Factors'!$E$11*('Calcs - Power'!H53+'Calcs - Power'!I53+'Calcs - Power'!J53+'Calcs - Power'!K53))</f>
        <v>2246.0066067786356</v>
      </c>
      <c r="AQ54" s="366">
        <f>(102*'Emissions Factors'!$E$10*'Calcs - Power'!$B53+'Emissions Factors'!$E$11*('Calcs - Power'!C53+'Calcs - Power'!D53+'Calcs - Power'!E53+'Calcs - Power'!F53))</f>
        <v>53088.398661679908</v>
      </c>
      <c r="AS54" s="357"/>
      <c r="AT54" s="357"/>
      <c r="AU54" s="357"/>
      <c r="AV54" s="357"/>
      <c r="AX54" s="358">
        <f t="shared" si="13"/>
        <v>42</v>
      </c>
      <c r="AY54" s="359">
        <f>(('Methane Leakage'!$G$6/'Methane Leakage'!$G$5)*102*'Emissions Factors'!$F$10*'Calcs - Power'!$G53+'Emissions Factors'!$F$11*('Calcs - Power'!$H53+'Calcs - Power'!$I53+'Calcs - Power'!$J53+'Calcs - Power'!$K53))</f>
        <v>2932299.5518520158</v>
      </c>
      <c r="AZ54" s="366">
        <f>(('Methane Leakage'!$G$6/'Methane Leakage'!$G$5)*102*'Emissions Factors'!$F$10*'Calcs - Power'!$B53+'Emissions Factors'!$F$11*('Calcs - Power'!$C53+'Calcs - Power'!$D53+'Calcs - Power'!$E53+'Calcs - Power'!$F53))</f>
        <v>73815189.494621724</v>
      </c>
      <c r="BA54" s="359">
        <f>(102*'Emissions Factors'!$G$10*'Calcs - Power'!$G53+'Emissions Factors'!$G$11*('Calcs - Power'!H53+'Calcs - Power'!I53+'Calcs - Power'!J53+'Calcs - Power'!K53))</f>
        <v>2578860.8605178981</v>
      </c>
      <c r="BB54" s="366">
        <f>(102*'Emissions Factors'!$G$10*'Calcs - Power'!$B53+'Emissions Factors'!$G$11*('Calcs - Power'!C53+'Calcs - Power'!D53+'Calcs - Power'!E53+'Calcs - Power'!F53))</f>
        <v>60751074.248058461</v>
      </c>
      <c r="BC54" s="359">
        <f>(102*'Emissions Factors'!$F$10*'Calcs - Power'!$G53+'Emissions Factors'!$F$11*('Calcs - Power'!$H53+'Calcs - Power'!$I53+'Calcs - Power'!$J53+'Calcs - Power'!$K53))</f>
        <v>2932299.5518520158</v>
      </c>
      <c r="BD54" s="366">
        <f>(102*'Emissions Factors'!$F$10*'Calcs - Power'!$B53+'Emissions Factors'!$F$11*('Calcs - Power'!$C53+'Calcs - Power'!$D53+'Calcs - Power'!$E53+'Calcs - Power'!$F53))</f>
        <v>73815189.494621724</v>
      </c>
      <c r="BE54" s="359">
        <f>(102*'Emissions Factors'!$G$10*'Calcs - Power'!$G53+'Emissions Factors'!$G$11*('Calcs - Power'!H53+'Calcs - Power'!I53+'Calcs - Power'!J53+'Calcs - Power'!K53))</f>
        <v>2578860.8605178981</v>
      </c>
      <c r="BF54" s="366">
        <f>(102*'Emissions Factors'!$G$10*'Calcs - Power'!$B53+'Emissions Factors'!$G$11*('Calcs - Power'!C53+'Calcs - Power'!D53+'Calcs - Power'!E53+'Calcs - Power'!F53))</f>
        <v>60751074.248058461</v>
      </c>
    </row>
    <row r="55" spans="1:58" x14ac:dyDescent="0.3">
      <c r="A55" s="351">
        <f t="shared" si="10"/>
        <v>43</v>
      </c>
      <c r="B55" s="352">
        <f t="shared" si="0"/>
        <v>0.99999999999999989</v>
      </c>
      <c r="C55" s="363">
        <f t="shared" si="1"/>
        <v>0.99999999999999989</v>
      </c>
      <c r="D55" s="352">
        <f t="shared" si="2"/>
        <v>1</v>
      </c>
      <c r="E55" s="364">
        <f t="shared" si="3"/>
        <v>1</v>
      </c>
      <c r="F55" s="364">
        <f t="shared" si="4"/>
        <v>1</v>
      </c>
      <c r="G55" s="365">
        <f t="shared" si="5"/>
        <v>1</v>
      </c>
      <c r="P55" s="358">
        <f t="shared" si="11"/>
        <v>43</v>
      </c>
      <c r="Q55" s="359">
        <f>(('Methane Leakage'!$C$6/'Methane Leakage'!$C$5)*102*'Emissions Factors'!$C$38*'Calcs - Power'!$G54+'Emissions Factors'!$C$37*('Calcs - Power'!$H54+'Calcs - Power'!$I54+'Calcs - Power'!$J54+'Calcs - Power'!$K54))</f>
        <v>15827.993906594565</v>
      </c>
      <c r="R55" s="366">
        <f>(('Methane Leakage'!$C$6/'Methane Leakage'!$C$5)*102*'Emissions Factors'!$C$38*'Calcs - Power'!$B54+'Emissions Factors'!$C$37*('Calcs - Power'!$C54+'Calcs - Power'!$D54+'Calcs - Power'!$E54+'Calcs - Power'!$F54))</f>
        <v>409023.53646571434</v>
      </c>
      <c r="S55" s="359">
        <f>(('Methane Leakage'!$C$6/'Methane Leakage'!$C$5)*102*'Emissions Factors'!$D$38*'Calcs - Power'!$G54+'Emissions Factors'!$D$37*('Calcs - Power'!$H54+'Calcs - Power'!$I54+'Calcs - Power'!$J54+'Calcs - Power'!$K54))</f>
        <v>15827.993906594565</v>
      </c>
      <c r="T55" s="366">
        <f>(('Methane Leakage'!$C$6/'Methane Leakage'!$C$5)*102*'Emissions Factors'!$D$38*'Calcs - Power'!$B54+'Emissions Factors'!$D$37*('Calcs - Power'!$C54+'Calcs - Power'!$D54+'Calcs - Power'!$E54+'Calcs - Power'!$F54))</f>
        <v>409023.53646571434</v>
      </c>
      <c r="U55" s="361">
        <f>(102*'Emissions Factors'!$C$36*'Calcs - Power'!$G54+'Emissions Factors'!$C$35*('Calcs - Power'!$H54+'Calcs - Power'!$I54+'Calcs - Power'!$J54+'Calcs - Power'!$K54))</f>
        <v>25388.174430731466</v>
      </c>
      <c r="V55" s="366">
        <f>(102*'Emissions Factors'!$C$36*'Calcs - Power'!$B54+'Emissions Factors'!$C$35*('Calcs - Power'!$C54+'Calcs - Power'!$D54+'Calcs - Power'!$E54+'Calcs - Power'!$F54))</f>
        <v>610945.21397626551</v>
      </c>
      <c r="W55" s="359">
        <f>(102*'Emissions Factors'!$D$36*'Calcs - Power'!$G54+'Emissions Factors'!$D$35*('Calcs - Power'!$H54+'Calcs - Power'!$I54+'Calcs - Power'!$J54+'Calcs - Power'!$K54))</f>
        <v>25388.174430731466</v>
      </c>
      <c r="X55" s="366">
        <f>(102*'Emissions Factors'!$D$36*'Calcs - Power'!$B54+'Emissions Factors'!$D$35*('Calcs - Power'!$C54+'Calcs - Power'!$D54+'Calcs - Power'!$E54+'Calcs - Power'!$F54))</f>
        <v>610945.21397626551</v>
      </c>
      <c r="Y55" s="359">
        <f>(102*'Emissions Factors'!$C$38*'Calcs - Power'!$G54+'Emissions Factors'!$C$37*('Calcs - Power'!$H54+'Calcs - Power'!$I54+'Calcs - Power'!$J54+'Calcs - Power'!$K54))</f>
        <v>15827.993906594565</v>
      </c>
      <c r="Z55" s="366">
        <f>(102*'Emissions Factors'!$C$38*'Calcs - Power'!$B54+'Emissions Factors'!$C$37*('Calcs - Power'!$C54+'Calcs - Power'!$D54+'Calcs - Power'!$E54+'Calcs - Power'!$F54))</f>
        <v>409023.53646571434</v>
      </c>
      <c r="AA55" s="359">
        <f>(102*'Emissions Factors'!$C$36*'Calcs - Power'!$G54+'Emissions Factors'!$C$35*('Calcs - Power'!$H54+'Calcs - Power'!$I54+'Calcs - Power'!$J54+'Calcs - Power'!$K54))</f>
        <v>25388.174430731466</v>
      </c>
      <c r="AB55" s="366">
        <f>(102*'Emissions Factors'!$C$36*'Calcs - Power'!$B54+'Emissions Factors'!$C$35*('Calcs - Power'!$C54+'Calcs - Power'!$D54+'Calcs - Power'!$E54+'Calcs - Power'!$F54))</f>
        <v>610945.21397626551</v>
      </c>
      <c r="AI55" s="358">
        <f t="shared" si="12"/>
        <v>43</v>
      </c>
      <c r="AJ55" s="359">
        <f>(('Methane Leakage'!$G$6/'Methane Leakage'!$G$5)*102*'Emissions Factors'!$D$10*'Calcs - Power'!$G54+'Emissions Factors'!$D$11*('Calcs - Power'!$H54+'Calcs - Power'!$I54+'Calcs - Power'!$J54+'Calcs - Power'!$K54))</f>
        <v>2270.2138341221398</v>
      </c>
      <c r="AK55" s="366">
        <f>(('Methane Leakage'!$G$6/'Methane Leakage'!$G$5)*102*'Emissions Factors'!$D$10*'Calcs - Power'!$B54+'Emissions Factors'!$D$11*('Calcs - Power'!$C54+'Calcs - Power'!$D54+'Calcs - Power'!$E54+'Calcs - Power'!$F54))</f>
        <v>59907.804713185535</v>
      </c>
      <c r="AL55" s="359">
        <f>(102*'Emissions Factors'!$E$10*'Calcs - Power'!$G54+'Emissions Factors'!$E$11*('Calcs - Power'!H54+'Calcs - Power'!I54+'Calcs - Power'!J54+'Calcs - Power'!K54))</f>
        <v>2285.4175223880993</v>
      </c>
      <c r="AM55" s="366">
        <f>(102*'Emissions Factors'!$E$10*'Calcs - Power'!$B54+'Emissions Factors'!$E$11*('Calcs - Power'!C54+'Calcs - Power'!D54+'Calcs - Power'!E54+'Calcs - Power'!F54))</f>
        <v>55354.134512634228</v>
      </c>
      <c r="AN55" s="359">
        <f>(102*'Emissions Factors'!$D$10*'Calcs - Power'!$G54+'Emissions Factors'!$D$11*('Calcs - Power'!$H54+'Calcs - Power'!$I54+'Calcs - Power'!$J54+'Calcs - Power'!$K54))</f>
        <v>2270.2138341221398</v>
      </c>
      <c r="AO55" s="366">
        <f>(102*'Emissions Factors'!$D$10*'Calcs - Power'!$B54+'Emissions Factors'!$D$11*('Calcs - Power'!$C54+'Calcs - Power'!$D54+'Calcs - Power'!$E54+'Calcs - Power'!$F54))</f>
        <v>59907.804713185535</v>
      </c>
      <c r="AP55" s="367">
        <f>(102*'Emissions Factors'!$E$10*'Calcs - Power'!$G54+'Emissions Factors'!$E$11*('Calcs - Power'!H54+'Calcs - Power'!I54+'Calcs - Power'!J54+'Calcs - Power'!K54))</f>
        <v>2285.4175223880993</v>
      </c>
      <c r="AQ55" s="366">
        <f>(102*'Emissions Factors'!$E$10*'Calcs - Power'!$B54+'Emissions Factors'!$E$11*('Calcs - Power'!C54+'Calcs - Power'!D54+'Calcs - Power'!E54+'Calcs - Power'!F54))</f>
        <v>55354.134512634228</v>
      </c>
      <c r="AS55" s="357"/>
      <c r="AT55" s="357"/>
      <c r="AU55" s="357"/>
      <c r="AV55" s="357"/>
      <c r="AX55" s="358">
        <f t="shared" si="13"/>
        <v>43</v>
      </c>
      <c r="AY55" s="359">
        <f>(('Methane Leakage'!$G$6/'Methane Leakage'!$G$5)*102*'Emissions Factors'!$F$10*'Calcs - Power'!$G54+'Emissions Factors'!$F$11*('Calcs - Power'!$H54+'Calcs - Power'!$I54+'Calcs - Power'!$J54+'Calcs - Power'!$K54))</f>
        <v>2974909.9520057417</v>
      </c>
      <c r="AZ55" s="366">
        <f>(('Methane Leakage'!$G$6/'Methane Leakage'!$G$5)*102*'Emissions Factors'!$F$10*'Calcs - Power'!$B54+'Emissions Factors'!$F$11*('Calcs - Power'!$C54+'Calcs - Power'!$D54+'Calcs - Power'!$E54+'Calcs - Power'!$F54))</f>
        <v>76768829.233891979</v>
      </c>
      <c r="BA55" s="359">
        <f>(102*'Emissions Factors'!$G$10*'Calcs - Power'!$G54+'Emissions Factors'!$G$11*('Calcs - Power'!H54+'Calcs - Power'!I54+'Calcs - Power'!J54+'Calcs - Power'!K54))</f>
        <v>2624514.6691700704</v>
      </c>
      <c r="BB55" s="366">
        <f>(102*'Emissions Factors'!$G$10*'Calcs - Power'!$B54+'Emissions Factors'!$G$11*('Calcs - Power'!C54+'Calcs - Power'!D54+'Calcs - Power'!E54+'Calcs - Power'!F54))</f>
        <v>63352789.145471245</v>
      </c>
      <c r="BC55" s="359">
        <f>(102*'Emissions Factors'!$F$10*'Calcs - Power'!$G54+'Emissions Factors'!$F$11*('Calcs - Power'!$H54+'Calcs - Power'!$I54+'Calcs - Power'!$J54+'Calcs - Power'!$K54))</f>
        <v>2974909.9520057417</v>
      </c>
      <c r="BD55" s="366">
        <f>(102*'Emissions Factors'!$F$10*'Calcs - Power'!$B54+'Emissions Factors'!$F$11*('Calcs - Power'!$C54+'Calcs - Power'!$D54+'Calcs - Power'!$E54+'Calcs - Power'!$F54))</f>
        <v>76768829.233891979</v>
      </c>
      <c r="BE55" s="359">
        <f>(102*'Emissions Factors'!$G$10*'Calcs - Power'!$G54+'Emissions Factors'!$G$11*('Calcs - Power'!H54+'Calcs - Power'!I54+'Calcs - Power'!J54+'Calcs - Power'!K54))</f>
        <v>2624514.6691700704</v>
      </c>
      <c r="BF55" s="366">
        <f>(102*'Emissions Factors'!$G$10*'Calcs - Power'!$B54+'Emissions Factors'!$G$11*('Calcs - Power'!C54+'Calcs - Power'!D54+'Calcs - Power'!E54+'Calcs - Power'!F54))</f>
        <v>63352789.145471245</v>
      </c>
    </row>
    <row r="56" spans="1:58" x14ac:dyDescent="0.3">
      <c r="A56" s="351">
        <f t="shared" si="10"/>
        <v>44</v>
      </c>
      <c r="B56" s="352">
        <f t="shared" si="0"/>
        <v>0.99999999999999989</v>
      </c>
      <c r="C56" s="363">
        <f t="shared" si="1"/>
        <v>1</v>
      </c>
      <c r="D56" s="352">
        <f t="shared" si="2"/>
        <v>1</v>
      </c>
      <c r="E56" s="364">
        <f t="shared" si="3"/>
        <v>1</v>
      </c>
      <c r="F56" s="364">
        <f t="shared" si="4"/>
        <v>1</v>
      </c>
      <c r="G56" s="365">
        <f t="shared" si="5"/>
        <v>1</v>
      </c>
      <c r="P56" s="358">
        <f t="shared" si="11"/>
        <v>44</v>
      </c>
      <c r="Q56" s="359">
        <f>(('Methane Leakage'!$C$6/'Methane Leakage'!$C$5)*102*'Emissions Factors'!$C$38*'Calcs - Power'!$G55+'Emissions Factors'!$C$37*('Calcs - Power'!$H55+'Calcs - Power'!$I55+'Calcs - Power'!$J55+'Calcs - Power'!$K55))</f>
        <v>16051.459521562925</v>
      </c>
      <c r="R56" s="366">
        <f>(('Methane Leakage'!$C$6/'Methane Leakage'!$C$5)*102*'Emissions Factors'!$C$38*'Calcs - Power'!$B55+'Emissions Factors'!$C$37*('Calcs - Power'!$C55+'Calcs - Power'!$D55+'Calcs - Power'!$E55+'Calcs - Power'!$F55))</f>
        <v>424963.44034224906</v>
      </c>
      <c r="S56" s="359">
        <f>(('Methane Leakage'!$C$6/'Methane Leakage'!$C$5)*102*'Emissions Factors'!$D$38*'Calcs - Power'!$G55+'Emissions Factors'!$D$37*('Calcs - Power'!$H55+'Calcs - Power'!$I55+'Calcs - Power'!$J55+'Calcs - Power'!$K55))</f>
        <v>16051.459521562925</v>
      </c>
      <c r="T56" s="366">
        <f>(('Methane Leakage'!$C$6/'Methane Leakage'!$C$5)*102*'Emissions Factors'!$D$38*'Calcs - Power'!$B55+'Emissions Factors'!$D$37*('Calcs - Power'!$C55+'Calcs - Power'!$D55+'Calcs - Power'!$E55+'Calcs - Power'!$F55))</f>
        <v>424963.44034224906</v>
      </c>
      <c r="U56" s="361">
        <f>(102*'Emissions Factors'!$C$36*'Calcs - Power'!$G55+'Emissions Factors'!$C$35*('Calcs - Power'!$H55+'Calcs - Power'!$I55+'Calcs - Power'!$J55+'Calcs - Power'!$K55))</f>
        <v>25830.229194202231</v>
      </c>
      <c r="V56" s="366">
        <f>(102*'Emissions Factors'!$C$36*'Calcs - Power'!$B55+'Emissions Factors'!$C$35*('Calcs - Power'!$C55+'Calcs - Power'!$D55+'Calcs - Power'!$E55+'Calcs - Power'!$F55))</f>
        <v>636554.66694307874</v>
      </c>
      <c r="W56" s="359">
        <f>(102*'Emissions Factors'!$D$36*'Calcs - Power'!$G55+'Emissions Factors'!$D$35*('Calcs - Power'!$H55+'Calcs - Power'!$I55+'Calcs - Power'!$J55+'Calcs - Power'!$K55))</f>
        <v>25830.229194202231</v>
      </c>
      <c r="X56" s="366">
        <f>(102*'Emissions Factors'!$D$36*'Calcs - Power'!$B55+'Emissions Factors'!$D$35*('Calcs - Power'!$C55+'Calcs - Power'!$D55+'Calcs - Power'!$E55+'Calcs - Power'!$F55))</f>
        <v>636554.66694307874</v>
      </c>
      <c r="Y56" s="359">
        <f>(102*'Emissions Factors'!$C$38*'Calcs - Power'!$G55+'Emissions Factors'!$C$37*('Calcs - Power'!$H55+'Calcs - Power'!$I55+'Calcs - Power'!$J55+'Calcs - Power'!$K55))</f>
        <v>16051.459521562925</v>
      </c>
      <c r="Z56" s="366">
        <f>(102*'Emissions Factors'!$C$38*'Calcs - Power'!$B55+'Emissions Factors'!$C$37*('Calcs - Power'!$C55+'Calcs - Power'!$D55+'Calcs - Power'!$E55+'Calcs - Power'!$F55))</f>
        <v>424963.44034224906</v>
      </c>
      <c r="AA56" s="359">
        <f>(102*'Emissions Factors'!$C$36*'Calcs - Power'!$G55+'Emissions Factors'!$C$35*('Calcs - Power'!$H55+'Calcs - Power'!$I55+'Calcs - Power'!$J55+'Calcs - Power'!$K55))</f>
        <v>25830.229194202231</v>
      </c>
      <c r="AB56" s="366">
        <f>(102*'Emissions Factors'!$C$36*'Calcs - Power'!$B55+'Emissions Factors'!$C$35*('Calcs - Power'!$C55+'Calcs - Power'!$D55+'Calcs - Power'!$E55+'Calcs - Power'!$F55))</f>
        <v>636554.66694307874</v>
      </c>
      <c r="AI56" s="358">
        <f t="shared" si="12"/>
        <v>44</v>
      </c>
      <c r="AJ56" s="359">
        <f>(('Methane Leakage'!$G$6/'Methane Leakage'!$G$5)*102*'Emissions Factors'!$D$10*'Calcs - Power'!$G55+'Emissions Factors'!$D$11*('Calcs - Power'!$H55+'Calcs - Power'!$I55+'Calcs - Power'!$J55+'Calcs - Power'!$K55))</f>
        <v>2299.9655111022666</v>
      </c>
      <c r="AK56" s="366">
        <f>(('Methane Leakage'!$G$6/'Methane Leakage'!$G$5)*102*'Emissions Factors'!$D$10*'Calcs - Power'!$B55+'Emissions Factors'!$D$11*('Calcs - Power'!$C55+'Calcs - Power'!$D55+'Calcs - Power'!$E55+'Calcs - Power'!$F55))</f>
        <v>62192.920704432283</v>
      </c>
      <c r="AL56" s="359">
        <f>(102*'Emissions Factors'!$E$10*'Calcs - Power'!$G55+'Emissions Factors'!$E$11*('Calcs - Power'!H55+'Calcs - Power'!I55+'Calcs - Power'!J55+'Calcs - Power'!K55))</f>
        <v>2324.5485405698705</v>
      </c>
      <c r="AM56" s="366">
        <f>(102*'Emissions Factors'!$E$10*'Calcs - Power'!$B55+'Emissions Factors'!$E$11*('Calcs - Power'!C55+'Calcs - Power'!D55+'Calcs - Power'!E55+'Calcs - Power'!F55))</f>
        <v>57659.140414277615</v>
      </c>
      <c r="AN56" s="359">
        <f>(102*'Emissions Factors'!$D$10*'Calcs - Power'!$G55+'Emissions Factors'!$D$11*('Calcs - Power'!$H55+'Calcs - Power'!$I55+'Calcs - Power'!$J55+'Calcs - Power'!$K55))</f>
        <v>2299.9655111022666</v>
      </c>
      <c r="AO56" s="366">
        <f>(102*'Emissions Factors'!$D$10*'Calcs - Power'!$B55+'Emissions Factors'!$D$11*('Calcs - Power'!$C55+'Calcs - Power'!$D55+'Calcs - Power'!$E55+'Calcs - Power'!$F55))</f>
        <v>62192.920704432283</v>
      </c>
      <c r="AP56" s="367">
        <f>(102*'Emissions Factors'!$E$10*'Calcs - Power'!$G55+'Emissions Factors'!$E$11*('Calcs - Power'!H55+'Calcs - Power'!I55+'Calcs - Power'!J55+'Calcs - Power'!K55))</f>
        <v>2324.5485405698705</v>
      </c>
      <c r="AQ56" s="366">
        <f>(102*'Emissions Factors'!$E$10*'Calcs - Power'!$B55+'Emissions Factors'!$E$11*('Calcs - Power'!C55+'Calcs - Power'!D55+'Calcs - Power'!E55+'Calcs - Power'!F55))</f>
        <v>57659.140414277615</v>
      </c>
      <c r="AS56" s="357"/>
      <c r="AT56" s="357"/>
      <c r="AU56" s="357"/>
      <c r="AV56" s="357"/>
      <c r="AX56" s="358">
        <f t="shared" si="13"/>
        <v>44</v>
      </c>
      <c r="AY56" s="359">
        <f>(('Methane Leakage'!$G$6/'Methane Leakage'!$G$5)*102*'Emissions Factors'!$F$10*'Calcs - Power'!$G55+'Emissions Factors'!$F$11*('Calcs - Power'!$H55+'Calcs - Power'!$I55+'Calcs - Power'!$J55+'Calcs - Power'!$K55))</f>
        <v>3017111.211813678</v>
      </c>
      <c r="AZ56" s="366">
        <f>(('Methane Leakage'!$G$6/'Methane Leakage'!$G$5)*102*'Emissions Factors'!$F$10*'Calcs - Power'!$B55+'Emissions Factors'!$F$11*('Calcs - Power'!$C55+'Calcs - Power'!$D55+'Calcs - Power'!$E55+'Calcs - Power'!$F55))</f>
        <v>79764873.03480716</v>
      </c>
      <c r="BA56" s="359">
        <f>(102*'Emissions Factors'!$G$10*'Calcs - Power'!$G55+'Emissions Factors'!$G$11*('Calcs - Power'!H55+'Calcs - Power'!I55+'Calcs - Power'!J55+'Calcs - Power'!K55))</f>
        <v>2669849.0887619248</v>
      </c>
      <c r="BB56" s="366">
        <f>(102*'Emissions Factors'!$G$10*'Calcs - Power'!$B55+'Emissions Factors'!$G$11*('Calcs - Power'!C55+'Calcs - Power'!D55+'Calcs - Power'!E55+'Calcs - Power'!F55))</f>
        <v>65999997.131047226</v>
      </c>
      <c r="BC56" s="359">
        <f>(102*'Emissions Factors'!$F$10*'Calcs - Power'!$G55+'Emissions Factors'!$F$11*('Calcs - Power'!$H55+'Calcs - Power'!$I55+'Calcs - Power'!$J55+'Calcs - Power'!$K55))</f>
        <v>3017111.211813678</v>
      </c>
      <c r="BD56" s="366">
        <f>(102*'Emissions Factors'!$F$10*'Calcs - Power'!$B55+'Emissions Factors'!$F$11*('Calcs - Power'!$C55+'Calcs - Power'!$D55+'Calcs - Power'!$E55+'Calcs - Power'!$F55))</f>
        <v>79764873.03480716</v>
      </c>
      <c r="BE56" s="359">
        <f>(102*'Emissions Factors'!$G$10*'Calcs - Power'!$G55+'Emissions Factors'!$G$11*('Calcs - Power'!H55+'Calcs - Power'!I55+'Calcs - Power'!J55+'Calcs - Power'!K55))</f>
        <v>2669849.0887619248</v>
      </c>
      <c r="BF56" s="366">
        <f>(102*'Emissions Factors'!$G$10*'Calcs - Power'!$B55+'Emissions Factors'!$G$11*('Calcs - Power'!C55+'Calcs - Power'!D55+'Calcs - Power'!E55+'Calcs - Power'!F55))</f>
        <v>65999997.131047226</v>
      </c>
    </row>
    <row r="57" spans="1:58" x14ac:dyDescent="0.3">
      <c r="A57" s="351">
        <f t="shared" si="10"/>
        <v>45</v>
      </c>
      <c r="B57" s="352">
        <f t="shared" si="0"/>
        <v>0.99999999999999989</v>
      </c>
      <c r="C57" s="363">
        <f t="shared" si="1"/>
        <v>1</v>
      </c>
      <c r="D57" s="352">
        <f t="shared" si="2"/>
        <v>1</v>
      </c>
      <c r="E57" s="364">
        <f t="shared" si="3"/>
        <v>1</v>
      </c>
      <c r="F57" s="364">
        <f t="shared" si="4"/>
        <v>1</v>
      </c>
      <c r="G57" s="365">
        <f t="shared" si="5"/>
        <v>1</v>
      </c>
      <c r="P57" s="358">
        <f t="shared" si="11"/>
        <v>45</v>
      </c>
      <c r="Q57" s="359">
        <f>(('Methane Leakage'!$C$6/'Methane Leakage'!$C$5)*102*'Emissions Factors'!$C$38*'Calcs - Power'!$G56+'Emissions Factors'!$C$37*('Calcs - Power'!$H56+'Calcs - Power'!$I56+'Calcs - Power'!$J56+'Calcs - Power'!$K56))</f>
        <v>16272.852748894456</v>
      </c>
      <c r="R57" s="366">
        <f>(('Methane Leakage'!$C$6/'Methane Leakage'!$C$5)*102*'Emissions Factors'!$C$38*'Calcs - Power'!$B56+'Emissions Factors'!$C$37*('Calcs - Power'!$C56+'Calcs - Power'!$D56+'Calcs - Power'!$E56+'Calcs - Power'!$F56))</f>
        <v>441125.7647942811</v>
      </c>
      <c r="S57" s="359">
        <f>(('Methane Leakage'!$C$6/'Methane Leakage'!$C$5)*102*'Emissions Factors'!$D$38*'Calcs - Power'!$G56+'Emissions Factors'!$D$37*('Calcs - Power'!$H56+'Calcs - Power'!$I56+'Calcs - Power'!$J56+'Calcs - Power'!$K56))</f>
        <v>16272.852748894456</v>
      </c>
      <c r="T57" s="366">
        <f>(('Methane Leakage'!$C$6/'Methane Leakage'!$C$5)*102*'Emissions Factors'!$D$38*'Calcs - Power'!$B56+'Emissions Factors'!$D$37*('Calcs - Power'!$C56+'Calcs - Power'!$D56+'Calcs - Power'!$E56+'Calcs - Power'!$F56))</f>
        <v>441125.7647942811</v>
      </c>
      <c r="U57" s="361">
        <f>(102*'Emissions Factors'!$C$36*'Calcs - Power'!$G56+'Emissions Factors'!$C$35*('Calcs - Power'!$H56+'Calcs - Power'!$I56+'Calcs - Power'!$J56+'Calcs - Power'!$K56))</f>
        <v>26269.32555250822</v>
      </c>
      <c r="V57" s="366">
        <f>(102*'Emissions Factors'!$C$36*'Calcs - Power'!$B56+'Emissions Factors'!$C$35*('Calcs - Power'!$C56+'Calcs - Power'!$D56+'Calcs - Power'!$E56+'Calcs - Power'!$F56))</f>
        <v>662604.6862967757</v>
      </c>
      <c r="W57" s="359">
        <f>(102*'Emissions Factors'!$D$36*'Calcs - Power'!$G56+'Emissions Factors'!$D$35*('Calcs - Power'!$H56+'Calcs - Power'!$I56+'Calcs - Power'!$J56+'Calcs - Power'!$K56))</f>
        <v>26269.32555250822</v>
      </c>
      <c r="X57" s="366">
        <f>(102*'Emissions Factors'!$D$36*'Calcs - Power'!$B56+'Emissions Factors'!$D$35*('Calcs - Power'!$C56+'Calcs - Power'!$D56+'Calcs - Power'!$E56+'Calcs - Power'!$F56))</f>
        <v>662604.6862967757</v>
      </c>
      <c r="Y57" s="359">
        <f>(102*'Emissions Factors'!$C$38*'Calcs - Power'!$G56+'Emissions Factors'!$C$37*('Calcs - Power'!$H56+'Calcs - Power'!$I56+'Calcs - Power'!$J56+'Calcs - Power'!$K56))</f>
        <v>16272.852748894456</v>
      </c>
      <c r="Z57" s="366">
        <f>(102*'Emissions Factors'!$C$38*'Calcs - Power'!$B56+'Emissions Factors'!$C$37*('Calcs - Power'!$C56+'Calcs - Power'!$D56+'Calcs - Power'!$E56+'Calcs - Power'!$F56))</f>
        <v>441125.7647942811</v>
      </c>
      <c r="AA57" s="359">
        <f>(102*'Emissions Factors'!$C$36*'Calcs - Power'!$G56+'Emissions Factors'!$C$35*('Calcs - Power'!$H56+'Calcs - Power'!$I56+'Calcs - Power'!$J56+'Calcs - Power'!$K56))</f>
        <v>26269.32555250822</v>
      </c>
      <c r="AB57" s="366">
        <f>(102*'Emissions Factors'!$C$36*'Calcs - Power'!$B56+'Emissions Factors'!$C$35*('Calcs - Power'!$C56+'Calcs - Power'!$D56+'Calcs - Power'!$E56+'Calcs - Power'!$F56))</f>
        <v>662604.6862967757</v>
      </c>
      <c r="AI57" s="358">
        <f t="shared" si="12"/>
        <v>45</v>
      </c>
      <c r="AJ57" s="359">
        <f>(('Methane Leakage'!$G$6/'Methane Leakage'!$G$5)*102*'Emissions Factors'!$D$10*'Calcs - Power'!$G56+'Emissions Factors'!$D$11*('Calcs - Power'!$H56+'Calcs - Power'!$I56+'Calcs - Power'!$J56+'Calcs - Power'!$K56))</f>
        <v>2329.4098849223901</v>
      </c>
      <c r="AK57" s="366">
        <f>(('Methane Leakage'!$G$6/'Methane Leakage'!$G$5)*102*'Emissions Factors'!$D$10*'Calcs - Power'!$B56+'Emissions Factors'!$D$11*('Calcs - Power'!$C56+'Calcs - Power'!$D56+'Calcs - Power'!$E56+'Calcs - Power'!$F56))</f>
        <v>64507.633314407729</v>
      </c>
      <c r="AL57" s="359">
        <f>(102*'Emissions Factors'!$E$10*'Calcs - Power'!$G56+'Emissions Factors'!$E$11*('Calcs - Power'!H56+'Calcs - Power'!I56+'Calcs - Power'!J56+'Calcs - Power'!K56))</f>
        <v>2363.4103493799976</v>
      </c>
      <c r="AM57" s="366">
        <f>(102*'Emissions Factors'!$E$10*'Calcs - Power'!$B56+'Emissions Factors'!$E$11*('Calcs - Power'!C56+'Calcs - Power'!D56+'Calcs - Power'!E56+'Calcs - Power'!F56))</f>
        <v>60003.141863863697</v>
      </c>
      <c r="AN57" s="359">
        <f>(102*'Emissions Factors'!$D$10*'Calcs - Power'!$G56+'Emissions Factors'!$D$11*('Calcs - Power'!$H56+'Calcs - Power'!$I56+'Calcs - Power'!$J56+'Calcs - Power'!$K56))</f>
        <v>2329.4098849223901</v>
      </c>
      <c r="AO57" s="366">
        <f>(102*'Emissions Factors'!$D$10*'Calcs - Power'!$B56+'Emissions Factors'!$D$11*('Calcs - Power'!$C56+'Calcs - Power'!$D56+'Calcs - Power'!$E56+'Calcs - Power'!$F56))</f>
        <v>64507.633314407729</v>
      </c>
      <c r="AP57" s="367">
        <f>(102*'Emissions Factors'!$E$10*'Calcs - Power'!$G56+'Emissions Factors'!$E$11*('Calcs - Power'!H56+'Calcs - Power'!I56+'Calcs - Power'!J56+'Calcs - Power'!K56))</f>
        <v>2363.4103493799976</v>
      </c>
      <c r="AQ57" s="366">
        <f>(102*'Emissions Factors'!$E$10*'Calcs - Power'!$B56+'Emissions Factors'!$E$11*('Calcs - Power'!C56+'Calcs - Power'!D56+'Calcs - Power'!E56+'Calcs - Power'!F56))</f>
        <v>60003.141863863697</v>
      </c>
      <c r="AS57" s="357"/>
      <c r="AT57" s="357"/>
      <c r="AU57" s="357"/>
      <c r="AV57" s="357"/>
      <c r="AX57" s="358">
        <f t="shared" si="13"/>
        <v>45</v>
      </c>
      <c r="AY57" s="359">
        <f>(('Methane Leakage'!$G$6/'Methane Leakage'!$G$5)*102*'Emissions Factors'!$F$10*'Calcs - Power'!$G56+'Emissions Factors'!$F$11*('Calcs - Power'!$H56+'Calcs - Power'!$I56+'Calcs - Power'!$J56+'Calcs - Power'!$K56))</f>
        <v>3058923.8376310188</v>
      </c>
      <c r="AZ57" s="366">
        <f>(('Methane Leakage'!$G$6/'Methane Leakage'!$G$5)*102*'Emissions Factors'!$F$10*'Calcs - Power'!$B56+'Emissions Factors'!$F$11*('Calcs - Power'!$C56+'Calcs - Power'!$D56+'Calcs - Power'!$E56+'Calcs - Power'!$F56))</f>
        <v>82802922.127988443</v>
      </c>
      <c r="BA57" s="359">
        <f>(102*'Emissions Factors'!$G$10*'Calcs - Power'!$G56+'Emissions Factors'!$G$11*('Calcs - Power'!H56+'Calcs - Power'!I56+'Calcs - Power'!J56+'Calcs - Power'!K56))</f>
        <v>2714876.0932320138</v>
      </c>
      <c r="BB57" s="366">
        <f>(102*'Emissions Factors'!$G$10*'Calcs - Power'!$B56+'Emissions Factors'!$G$11*('Calcs - Power'!C56+'Calcs - Power'!D56+'Calcs - Power'!E56+'Calcs - Power'!F56))</f>
        <v>68692384.858505458</v>
      </c>
      <c r="BC57" s="359">
        <f>(102*'Emissions Factors'!$F$10*'Calcs - Power'!$G56+'Emissions Factors'!$F$11*('Calcs - Power'!$H56+'Calcs - Power'!$I56+'Calcs - Power'!$J56+'Calcs - Power'!$K56))</f>
        <v>3058923.8376310188</v>
      </c>
      <c r="BD57" s="366">
        <f>(102*'Emissions Factors'!$F$10*'Calcs - Power'!$B56+'Emissions Factors'!$F$11*('Calcs - Power'!$C56+'Calcs - Power'!$D56+'Calcs - Power'!$E56+'Calcs - Power'!$F56))</f>
        <v>82802922.127988443</v>
      </c>
      <c r="BE57" s="359">
        <f>(102*'Emissions Factors'!$G$10*'Calcs - Power'!$G56+'Emissions Factors'!$G$11*('Calcs - Power'!H56+'Calcs - Power'!I56+'Calcs - Power'!J56+'Calcs - Power'!K56))</f>
        <v>2714876.0932320138</v>
      </c>
      <c r="BF57" s="366">
        <f>(102*'Emissions Factors'!$G$10*'Calcs - Power'!$B56+'Emissions Factors'!$G$11*('Calcs - Power'!C56+'Calcs - Power'!D56+'Calcs - Power'!E56+'Calcs - Power'!F56))</f>
        <v>68692384.858505458</v>
      </c>
    </row>
    <row r="58" spans="1:58" x14ac:dyDescent="0.3">
      <c r="A58" s="351">
        <f t="shared" si="10"/>
        <v>46</v>
      </c>
      <c r="B58" s="352">
        <f t="shared" si="0"/>
        <v>0.99999999999999989</v>
      </c>
      <c r="C58" s="363">
        <f t="shared" si="1"/>
        <v>0.99999999999999989</v>
      </c>
      <c r="D58" s="352">
        <f t="shared" si="2"/>
        <v>1</v>
      </c>
      <c r="E58" s="364">
        <f t="shared" si="3"/>
        <v>1</v>
      </c>
      <c r="F58" s="364">
        <f t="shared" si="4"/>
        <v>1</v>
      </c>
      <c r="G58" s="365">
        <f t="shared" si="5"/>
        <v>1</v>
      </c>
      <c r="P58" s="358">
        <f t="shared" si="11"/>
        <v>46</v>
      </c>
      <c r="Q58" s="359">
        <f>(('Methane Leakage'!$C$6/'Methane Leakage'!$C$5)*102*'Emissions Factors'!$C$38*'Calcs - Power'!$G57+'Emissions Factors'!$C$37*('Calcs - Power'!$H57+'Calcs - Power'!$I57+'Calcs - Power'!$J57+'Calcs - Power'!$K57))</f>
        <v>16492.276173522492</v>
      </c>
      <c r="R58" s="366">
        <f>(('Methane Leakage'!$C$6/'Methane Leakage'!$C$5)*102*'Emissions Factors'!$C$38*'Calcs - Power'!$B57+'Emissions Factors'!$C$37*('Calcs - Power'!$C57+'Calcs - Power'!$D57+'Calcs - Power'!$E57+'Calcs - Power'!$F57))</f>
        <v>457508.48931468604</v>
      </c>
      <c r="S58" s="359">
        <f>(('Methane Leakage'!$C$6/'Methane Leakage'!$C$5)*102*'Emissions Factors'!$D$38*'Calcs - Power'!$G57+'Emissions Factors'!$D$37*('Calcs - Power'!$H57+'Calcs - Power'!$I57+'Calcs - Power'!$J57+'Calcs - Power'!$K57))</f>
        <v>16492.276173522492</v>
      </c>
      <c r="T58" s="366">
        <f>(('Methane Leakage'!$C$6/'Methane Leakage'!$C$5)*102*'Emissions Factors'!$D$38*'Calcs - Power'!$B57+'Emissions Factors'!$D$37*('Calcs - Power'!$C57+'Calcs - Power'!$D57+'Calcs - Power'!$E57+'Calcs - Power'!$F57))</f>
        <v>457508.48931468604</v>
      </c>
      <c r="U58" s="361">
        <f>(102*'Emissions Factors'!$C$36*'Calcs - Power'!$G57+'Emissions Factors'!$C$35*('Calcs - Power'!$H57+'Calcs - Power'!$I57+'Calcs - Power'!$J57+'Calcs - Power'!$K57))</f>
        <v>26705.570636035649</v>
      </c>
      <c r="V58" s="366">
        <f>(102*'Emissions Factors'!$C$36*'Calcs - Power'!$B57+'Emissions Factors'!$C$35*('Calcs - Power'!$C57+'Calcs - Power'!$D57+'Calcs - Power'!$E57+'Calcs - Power'!$F57))</f>
        <v>689092.36768645956</v>
      </c>
      <c r="W58" s="359">
        <f>(102*'Emissions Factors'!$D$36*'Calcs - Power'!$G57+'Emissions Factors'!$D$35*('Calcs - Power'!$H57+'Calcs - Power'!$I57+'Calcs - Power'!$J57+'Calcs - Power'!$K57))</f>
        <v>26705.570636035649</v>
      </c>
      <c r="X58" s="366">
        <f>(102*'Emissions Factors'!$D$36*'Calcs - Power'!$B57+'Emissions Factors'!$D$35*('Calcs - Power'!$C57+'Calcs - Power'!$D57+'Calcs - Power'!$E57+'Calcs - Power'!$F57))</f>
        <v>689092.36768645956</v>
      </c>
      <c r="Y58" s="359">
        <f>(102*'Emissions Factors'!$C$38*'Calcs - Power'!$G57+'Emissions Factors'!$C$37*('Calcs - Power'!$H57+'Calcs - Power'!$I57+'Calcs - Power'!$J57+'Calcs - Power'!$K57))</f>
        <v>16492.276173522492</v>
      </c>
      <c r="Z58" s="366">
        <f>(102*'Emissions Factors'!$C$38*'Calcs - Power'!$B57+'Emissions Factors'!$C$37*('Calcs - Power'!$C57+'Calcs - Power'!$D57+'Calcs - Power'!$E57+'Calcs - Power'!$F57))</f>
        <v>457508.48931468604</v>
      </c>
      <c r="AA58" s="359">
        <f>(102*'Emissions Factors'!$C$36*'Calcs - Power'!$G57+'Emissions Factors'!$C$35*('Calcs - Power'!$H57+'Calcs - Power'!$I57+'Calcs - Power'!$J57+'Calcs - Power'!$K57))</f>
        <v>26705.570636035649</v>
      </c>
      <c r="AB58" s="366">
        <f>(102*'Emissions Factors'!$C$36*'Calcs - Power'!$B57+'Emissions Factors'!$C$35*('Calcs - Power'!$C57+'Calcs - Power'!$D57+'Calcs - Power'!$E57+'Calcs - Power'!$F57))</f>
        <v>689092.36768645956</v>
      </c>
      <c r="AI58" s="358">
        <f t="shared" si="12"/>
        <v>46</v>
      </c>
      <c r="AJ58" s="359">
        <f>(('Methane Leakage'!$G$6/'Methane Leakage'!$G$5)*102*'Emissions Factors'!$D$10*'Calcs - Power'!$G57+'Emissions Factors'!$D$11*('Calcs - Power'!$H57+'Calcs - Power'!$I57+'Calcs - Power'!$J57+'Calcs - Power'!$K57))</f>
        <v>2358.5632487663943</v>
      </c>
      <c r="AK58" s="366">
        <f>(('Methane Leakage'!$G$6/'Methane Leakage'!$G$5)*102*'Emissions Factors'!$D$10*'Calcs - Power'!$B57+'Emissions Factors'!$D$11*('Calcs - Power'!$C57+'Calcs - Power'!$D57+'Calcs - Power'!$E57+'Calcs - Power'!$F57))</f>
        <v>66851.64348338019</v>
      </c>
      <c r="AL58" s="359">
        <f>(102*'Emissions Factors'!$E$10*'Calcs - Power'!$G57+'Emissions Factors'!$E$11*('Calcs - Power'!H57+'Calcs - Power'!I57+'Calcs - Power'!J57+'Calcs - Power'!K57))</f>
        <v>2402.0130473716536</v>
      </c>
      <c r="AM58" s="366">
        <f>(102*'Emissions Factors'!$E$10*'Calcs - Power'!$B57+'Emissions Factors'!$E$11*('Calcs - Power'!C57+'Calcs - Power'!D57+'Calcs - Power'!E57+'Calcs - Power'!F57))</f>
        <v>62385.874748920673</v>
      </c>
      <c r="AN58" s="359">
        <f>(102*'Emissions Factors'!$D$10*'Calcs - Power'!$G57+'Emissions Factors'!$D$11*('Calcs - Power'!$H57+'Calcs - Power'!$I57+'Calcs - Power'!$J57+'Calcs - Power'!$K57))</f>
        <v>2358.5632487663943</v>
      </c>
      <c r="AO58" s="366">
        <f>(102*'Emissions Factors'!$D$10*'Calcs - Power'!$B57+'Emissions Factors'!$D$11*('Calcs - Power'!$C57+'Calcs - Power'!$D57+'Calcs - Power'!$E57+'Calcs - Power'!$F57))</f>
        <v>66851.64348338019</v>
      </c>
      <c r="AP58" s="367">
        <f>(102*'Emissions Factors'!$E$10*'Calcs - Power'!$G57+'Emissions Factors'!$E$11*('Calcs - Power'!H57+'Calcs - Power'!I57+'Calcs - Power'!J57+'Calcs - Power'!K57))</f>
        <v>2402.0130473716536</v>
      </c>
      <c r="AQ58" s="366">
        <f>(102*'Emissions Factors'!$E$10*'Calcs - Power'!$B57+'Emissions Factors'!$E$11*('Calcs - Power'!C57+'Calcs - Power'!D57+'Calcs - Power'!E57+'Calcs - Power'!F57))</f>
        <v>62385.874748920673</v>
      </c>
      <c r="AS58" s="357"/>
      <c r="AT58" s="357"/>
      <c r="AU58" s="357"/>
      <c r="AV58" s="357"/>
      <c r="AX58" s="358">
        <f t="shared" si="13"/>
        <v>46</v>
      </c>
      <c r="AY58" s="359">
        <f>(('Methane Leakage'!$G$6/'Methane Leakage'!$G$5)*102*'Emissions Factors'!$F$10*'Calcs - Power'!$G57+'Emissions Factors'!$F$11*('Calcs - Power'!$H57+'Calcs - Power'!$I57+'Calcs - Power'!$J57+'Calcs - Power'!$K57))</f>
        <v>3100366.9729673075</v>
      </c>
      <c r="AZ58" s="366">
        <f>(('Methane Leakage'!$G$6/'Methane Leakage'!$G$5)*102*'Emissions Factors'!$F$10*'Calcs - Power'!$B57+'Emissions Factors'!$F$11*('Calcs - Power'!$C57+'Calcs - Power'!$D57+'Calcs - Power'!$E57+'Calcs - Power'!$F57))</f>
        <v>85882597.560636461</v>
      </c>
      <c r="BA58" s="359">
        <f>(102*'Emissions Factors'!$G$10*'Calcs - Power'!$G57+'Emissions Factors'!$G$11*('Calcs - Power'!H57+'Calcs - Power'!I57+'Calcs - Power'!J57+'Calcs - Power'!K57))</f>
        <v>2759607.0066378303</v>
      </c>
      <c r="BB58" s="366">
        <f>(102*'Emissions Factors'!$G$10*'Calcs - Power'!$B57+'Emissions Factors'!$G$11*('Calcs - Power'!C57+'Calcs - Power'!D57+'Calcs - Power'!E57+'Calcs - Power'!F57))</f>
        <v>71429650.627283975</v>
      </c>
      <c r="BC58" s="359">
        <f>(102*'Emissions Factors'!$F$10*'Calcs - Power'!$G57+'Emissions Factors'!$F$11*('Calcs - Power'!$H57+'Calcs - Power'!$I57+'Calcs - Power'!$J57+'Calcs - Power'!$K57))</f>
        <v>3100366.9729673075</v>
      </c>
      <c r="BD58" s="366">
        <f>(102*'Emissions Factors'!$F$10*'Calcs - Power'!$B57+'Emissions Factors'!$F$11*('Calcs - Power'!$C57+'Calcs - Power'!$D57+'Calcs - Power'!$E57+'Calcs - Power'!$F57))</f>
        <v>85882597.560636461</v>
      </c>
      <c r="BE58" s="359">
        <f>(102*'Emissions Factors'!$G$10*'Calcs - Power'!$G57+'Emissions Factors'!$G$11*('Calcs - Power'!H57+'Calcs - Power'!I57+'Calcs - Power'!J57+'Calcs - Power'!K57))</f>
        <v>2759607.0066378303</v>
      </c>
      <c r="BF58" s="366">
        <f>(102*'Emissions Factors'!$G$10*'Calcs - Power'!$B57+'Emissions Factors'!$G$11*('Calcs - Power'!C57+'Calcs - Power'!D57+'Calcs - Power'!E57+'Calcs - Power'!F57))</f>
        <v>71429650.627283975</v>
      </c>
    </row>
    <row r="59" spans="1:58" x14ac:dyDescent="0.3">
      <c r="A59" s="351">
        <f t="shared" si="10"/>
        <v>47</v>
      </c>
      <c r="B59" s="352">
        <f t="shared" si="0"/>
        <v>1</v>
      </c>
      <c r="C59" s="363">
        <f t="shared" si="1"/>
        <v>1</v>
      </c>
      <c r="D59" s="352">
        <f t="shared" si="2"/>
        <v>1</v>
      </c>
      <c r="E59" s="364">
        <f t="shared" si="3"/>
        <v>1</v>
      </c>
      <c r="F59" s="364">
        <f t="shared" si="4"/>
        <v>1</v>
      </c>
      <c r="G59" s="365">
        <f t="shared" si="5"/>
        <v>1</v>
      </c>
      <c r="P59" s="358">
        <f t="shared" si="11"/>
        <v>47</v>
      </c>
      <c r="Q59" s="359">
        <f>(('Methane Leakage'!$C$6/'Methane Leakage'!$C$5)*102*'Emissions Factors'!$C$38*'Calcs - Power'!$G58+'Emissions Factors'!$C$37*('Calcs - Power'!$H58+'Calcs - Power'!$I58+'Calcs - Power'!$J58+'Calcs - Power'!$K58))</f>
        <v>16709.825576408959</v>
      </c>
      <c r="R59" s="366">
        <f>(('Methane Leakage'!$C$6/'Methane Leakage'!$C$5)*102*'Emissions Factors'!$C$38*'Calcs - Power'!$B58+'Emissions Factors'!$C$37*('Calcs - Power'!$C58+'Calcs - Power'!$D58+'Calcs - Power'!$E58+'Calcs - Power'!$F58))</f>
        <v>474109.69253761449</v>
      </c>
      <c r="S59" s="359">
        <f>(('Methane Leakage'!$C$6/'Methane Leakage'!$C$5)*102*'Emissions Factors'!$D$38*'Calcs - Power'!$G58+'Emissions Factors'!$D$37*('Calcs - Power'!$H58+'Calcs - Power'!$I58+'Calcs - Power'!$J58+'Calcs - Power'!$K58))</f>
        <v>16709.825576408959</v>
      </c>
      <c r="T59" s="366">
        <f>(('Methane Leakage'!$C$6/'Methane Leakage'!$C$5)*102*'Emissions Factors'!$D$38*'Calcs - Power'!$B58+'Emissions Factors'!$D$37*('Calcs - Power'!$C58+'Calcs - Power'!$D58+'Calcs - Power'!$E58+'Calcs - Power'!$F58))</f>
        <v>474109.69253761449</v>
      </c>
      <c r="U59" s="361">
        <f>(102*'Emissions Factors'!$C$36*'Calcs - Power'!$G58+'Emissions Factors'!$C$35*('Calcs - Power'!$H58+'Calcs - Power'!$I58+'Calcs - Power'!$J58+'Calcs - Power'!$K58))</f>
        <v>27139.065876540441</v>
      </c>
      <c r="V59" s="366">
        <f>(102*'Emissions Factors'!$C$36*'Calcs - Power'!$B58+'Emissions Factors'!$C$35*('Calcs - Power'!$C58+'Calcs - Power'!$D58+'Calcs - Power'!$E58+'Calcs - Power'!$F58))</f>
        <v>716014.91101415851</v>
      </c>
      <c r="W59" s="359">
        <f>(102*'Emissions Factors'!$D$36*'Calcs - Power'!$G58+'Emissions Factors'!$D$35*('Calcs - Power'!$H58+'Calcs - Power'!$I58+'Calcs - Power'!$J58+'Calcs - Power'!$K58))</f>
        <v>27139.065876540441</v>
      </c>
      <c r="X59" s="366">
        <f>(102*'Emissions Factors'!$D$36*'Calcs - Power'!$B58+'Emissions Factors'!$D$35*('Calcs - Power'!$C58+'Calcs - Power'!$D58+'Calcs - Power'!$E58+'Calcs - Power'!$F58))</f>
        <v>716014.91101415851</v>
      </c>
      <c r="Y59" s="359">
        <f>(102*'Emissions Factors'!$C$38*'Calcs - Power'!$G58+'Emissions Factors'!$C$37*('Calcs - Power'!$H58+'Calcs - Power'!$I58+'Calcs - Power'!$J58+'Calcs - Power'!$K58))</f>
        <v>16709.825576408959</v>
      </c>
      <c r="Z59" s="366">
        <f>(102*'Emissions Factors'!$C$38*'Calcs - Power'!$B58+'Emissions Factors'!$C$37*('Calcs - Power'!$C58+'Calcs - Power'!$D58+'Calcs - Power'!$E58+'Calcs - Power'!$F58))</f>
        <v>474109.69253761449</v>
      </c>
      <c r="AA59" s="359">
        <f>(102*'Emissions Factors'!$C$36*'Calcs - Power'!$G58+'Emissions Factors'!$C$35*('Calcs - Power'!$H58+'Calcs - Power'!$I58+'Calcs - Power'!$J58+'Calcs - Power'!$K58))</f>
        <v>27139.065876540441</v>
      </c>
      <c r="AB59" s="366">
        <f>(102*'Emissions Factors'!$C$36*'Calcs - Power'!$B58+'Emissions Factors'!$C$35*('Calcs - Power'!$C58+'Calcs - Power'!$D58+'Calcs - Power'!$E58+'Calcs - Power'!$F58))</f>
        <v>716014.91101415851</v>
      </c>
      <c r="AI59" s="358">
        <f t="shared" si="12"/>
        <v>47</v>
      </c>
      <c r="AJ59" s="359">
        <f>(('Methane Leakage'!$G$6/'Methane Leakage'!$G$5)*102*'Emissions Factors'!$D$10*'Calcs - Power'!$G58+'Emissions Factors'!$D$11*('Calcs - Power'!$H58+'Calcs - Power'!$I58+'Calcs - Power'!$J58+'Calcs - Power'!$K58))</f>
        <v>2387.4407764701491</v>
      </c>
      <c r="AK59" s="366">
        <f>(('Methane Leakage'!$G$6/'Methane Leakage'!$G$5)*102*'Emissions Factors'!$D$10*'Calcs - Power'!$B58+'Emissions Factors'!$D$11*('Calcs - Power'!$C58+'Calcs - Power'!$D58+'Calcs - Power'!$E58+'Calcs - Power'!$F58))</f>
        <v>69224.667878086184</v>
      </c>
      <c r="AL59" s="359">
        <f>(102*'Emissions Factors'!$E$10*'Calcs - Power'!$G58+'Emissions Factors'!$E$11*('Calcs - Power'!H58+'Calcs - Power'!I58+'Calcs - Power'!J58+'Calcs - Power'!K58))</f>
        <v>2440.3661788062004</v>
      </c>
      <c r="AM59" s="366">
        <f>(102*'Emissions Factors'!$E$10*'Calcs - Power'!$B58+'Emissions Factors'!$E$11*('Calcs - Power'!C58+'Calcs - Power'!D58+'Calcs - Power'!E58+'Calcs - Power'!F58))</f>
        <v>64807.084775543895</v>
      </c>
      <c r="AN59" s="359">
        <f>(102*'Emissions Factors'!$D$10*'Calcs - Power'!$G58+'Emissions Factors'!$D$11*('Calcs - Power'!$H58+'Calcs - Power'!$I58+'Calcs - Power'!$J58+'Calcs - Power'!$K58))</f>
        <v>2387.4407764701491</v>
      </c>
      <c r="AO59" s="366">
        <f>(102*'Emissions Factors'!$D$10*'Calcs - Power'!$B58+'Emissions Factors'!$D$11*('Calcs - Power'!$C58+'Calcs - Power'!$D58+'Calcs - Power'!$E58+'Calcs - Power'!$F58))</f>
        <v>69224.667878086184</v>
      </c>
      <c r="AP59" s="367">
        <f>(102*'Emissions Factors'!$E$10*'Calcs - Power'!$G58+'Emissions Factors'!$E$11*('Calcs - Power'!H58+'Calcs - Power'!I58+'Calcs - Power'!J58+'Calcs - Power'!K58))</f>
        <v>2440.3661788062004</v>
      </c>
      <c r="AQ59" s="366">
        <f>(102*'Emissions Factors'!$E$10*'Calcs - Power'!$B58+'Emissions Factors'!$E$11*('Calcs - Power'!C58+'Calcs - Power'!D58+'Calcs - Power'!E58+'Calcs - Power'!F58))</f>
        <v>64807.084775543895</v>
      </c>
      <c r="AS59" s="357"/>
      <c r="AT59" s="357"/>
      <c r="AU59" s="357"/>
      <c r="AV59" s="357"/>
      <c r="AX59" s="358">
        <f t="shared" si="13"/>
        <v>47</v>
      </c>
      <c r="AY59" s="359">
        <f>(('Methane Leakage'!$G$6/'Methane Leakage'!$G$5)*102*'Emissions Factors'!$F$10*'Calcs - Power'!$G58+'Emissions Factors'!$F$11*('Calcs - Power'!$H58+'Calcs - Power'!$I58+'Calcs - Power'!$J58+'Calcs - Power'!$K58))</f>
        <v>3141458.4950049762</v>
      </c>
      <c r="AZ59" s="366">
        <f>(('Methane Leakage'!$G$6/'Methane Leakage'!$G$5)*102*'Emissions Factors'!$F$10*'Calcs - Power'!$B58+'Emissions Factors'!$F$11*('Calcs - Power'!$C58+'Calcs - Power'!$D58+'Calcs - Power'!$E58+'Calcs - Power'!$F58))</f>
        <v>89003538.882558003</v>
      </c>
      <c r="BA59" s="359">
        <f>(102*'Emissions Factors'!$G$10*'Calcs - Power'!$G58+'Emissions Factors'!$G$11*('Calcs - Power'!H58+'Calcs - Power'!I58+'Calcs - Power'!J58+'Calcs - Power'!K58))</f>
        <v>2804052.5412856629</v>
      </c>
      <c r="BB59" s="366">
        <f>(102*'Emissions Factors'!$G$10*'Calcs - Power'!$B58+'Emissions Factors'!$G$11*('Calcs - Power'!C58+'Calcs - Power'!D58+'Calcs - Power'!E58+'Calcs - Power'!F58))</f>
        <v>74211503.751925066</v>
      </c>
      <c r="BC59" s="359">
        <f>(102*'Emissions Factors'!$F$10*'Calcs - Power'!$G58+'Emissions Factors'!$F$11*('Calcs - Power'!$H58+'Calcs - Power'!$I58+'Calcs - Power'!$J58+'Calcs - Power'!$K58))</f>
        <v>3141458.4950049762</v>
      </c>
      <c r="BD59" s="366">
        <f>(102*'Emissions Factors'!$F$10*'Calcs - Power'!$B58+'Emissions Factors'!$F$11*('Calcs - Power'!$C58+'Calcs - Power'!$D58+'Calcs - Power'!$E58+'Calcs - Power'!$F58))</f>
        <v>89003538.882558003</v>
      </c>
      <c r="BE59" s="359">
        <f>(102*'Emissions Factors'!$G$10*'Calcs - Power'!$G58+'Emissions Factors'!$G$11*('Calcs - Power'!H58+'Calcs - Power'!I58+'Calcs - Power'!J58+'Calcs - Power'!K58))</f>
        <v>2804052.5412856629</v>
      </c>
      <c r="BF59" s="366">
        <f>(102*'Emissions Factors'!$G$10*'Calcs - Power'!$B58+'Emissions Factors'!$G$11*('Calcs - Power'!C58+'Calcs - Power'!D58+'Calcs - Power'!E58+'Calcs - Power'!F58))</f>
        <v>74211503.751925066</v>
      </c>
    </row>
    <row r="60" spans="1:58" x14ac:dyDescent="0.3">
      <c r="A60" s="351">
        <f t="shared" si="10"/>
        <v>48</v>
      </c>
      <c r="B60" s="352">
        <f t="shared" si="0"/>
        <v>1</v>
      </c>
      <c r="C60" s="363">
        <f t="shared" si="1"/>
        <v>0.99999999999999989</v>
      </c>
      <c r="D60" s="352">
        <f t="shared" si="2"/>
        <v>1</v>
      </c>
      <c r="E60" s="364">
        <f t="shared" si="3"/>
        <v>1</v>
      </c>
      <c r="F60" s="364">
        <f t="shared" si="4"/>
        <v>1</v>
      </c>
      <c r="G60" s="365">
        <f t="shared" si="5"/>
        <v>1</v>
      </c>
      <c r="P60" s="358">
        <f t="shared" si="11"/>
        <v>48</v>
      </c>
      <c r="Q60" s="359">
        <f>(('Methane Leakage'!$C$6/'Methane Leakage'!$C$5)*102*'Emissions Factors'!$C$38*'Calcs - Power'!$G59+'Emissions Factors'!$C$37*('Calcs - Power'!$H59+'Calcs - Power'!$I59+'Calcs - Power'!$J59+'Calcs - Power'!$K59))</f>
        <v>16925.590416101379</v>
      </c>
      <c r="R60" s="366">
        <f>(('Methane Leakage'!$C$6/'Methane Leakage'!$C$5)*102*'Emissions Factors'!$C$38*'Calcs - Power'!$B59+'Emissions Factors'!$C$37*('Calcs - Power'!$C59+'Calcs - Power'!$D59+'Calcs - Power'!$E59+'Calcs - Power'!$F59))</f>
        <v>490927.54567835323</v>
      </c>
      <c r="S60" s="359">
        <f>(('Methane Leakage'!$C$6/'Methane Leakage'!$C$5)*102*'Emissions Factors'!$D$38*'Calcs - Power'!$G59+'Emissions Factors'!$D$37*('Calcs - Power'!$H59+'Calcs - Power'!$I59+'Calcs - Power'!$J59+'Calcs - Power'!$K59))</f>
        <v>16925.590416101379</v>
      </c>
      <c r="T60" s="366">
        <f>(('Methane Leakage'!$C$6/'Methane Leakage'!$C$5)*102*'Emissions Factors'!$D$38*'Calcs - Power'!$B59+'Emissions Factors'!$D$37*('Calcs - Power'!$C59+'Calcs - Power'!$D59+'Calcs - Power'!$E59+'Calcs - Power'!$F59))</f>
        <v>490927.54567835323</v>
      </c>
      <c r="U60" s="361">
        <f>(102*'Emissions Factors'!$C$36*'Calcs - Power'!$G59+'Emissions Factors'!$C$35*('Calcs - Power'!$H59+'Calcs - Power'!$I59+'Calcs - Power'!$J59+'Calcs - Power'!$K59))</f>
        <v>27569.907334719013</v>
      </c>
      <c r="V60" s="366">
        <f>(102*'Emissions Factors'!$C$36*'Calcs - Power'!$B59+'Emissions Factors'!$C$35*('Calcs - Power'!$C59+'Calcs - Power'!$D59+'Calcs - Power'!$E59+'Calcs - Power'!$F59))</f>
        <v>743369.61490166362</v>
      </c>
      <c r="W60" s="359">
        <f>(102*'Emissions Factors'!$D$36*'Calcs - Power'!$G59+'Emissions Factors'!$D$35*('Calcs - Power'!$H59+'Calcs - Power'!$I59+'Calcs - Power'!$J59+'Calcs - Power'!$K59))</f>
        <v>27569.907334719013</v>
      </c>
      <c r="X60" s="366">
        <f>(102*'Emissions Factors'!$D$36*'Calcs - Power'!$B59+'Emissions Factors'!$D$35*('Calcs - Power'!$C59+'Calcs - Power'!$D59+'Calcs - Power'!$E59+'Calcs - Power'!$F59))</f>
        <v>743369.61490166362</v>
      </c>
      <c r="Y60" s="359">
        <f>(102*'Emissions Factors'!$C$38*'Calcs - Power'!$G59+'Emissions Factors'!$C$37*('Calcs - Power'!$H59+'Calcs - Power'!$I59+'Calcs - Power'!$J59+'Calcs - Power'!$K59))</f>
        <v>16925.590416101379</v>
      </c>
      <c r="Z60" s="366">
        <f>(102*'Emissions Factors'!$C$38*'Calcs - Power'!$B59+'Emissions Factors'!$C$37*('Calcs - Power'!$C59+'Calcs - Power'!$D59+'Calcs - Power'!$E59+'Calcs - Power'!$F59))</f>
        <v>490927.54567835323</v>
      </c>
      <c r="AA60" s="359">
        <f>(102*'Emissions Factors'!$C$36*'Calcs - Power'!$G59+'Emissions Factors'!$C$35*('Calcs - Power'!$H59+'Calcs - Power'!$I59+'Calcs - Power'!$J59+'Calcs - Power'!$K59))</f>
        <v>27569.907334719013</v>
      </c>
      <c r="AB60" s="366">
        <f>(102*'Emissions Factors'!$C$36*'Calcs - Power'!$B59+'Emissions Factors'!$C$35*('Calcs - Power'!$C59+'Calcs - Power'!$D59+'Calcs - Power'!$E59+'Calcs - Power'!$F59))</f>
        <v>743369.61490166362</v>
      </c>
      <c r="AI60" s="358">
        <f t="shared" si="12"/>
        <v>48</v>
      </c>
      <c r="AJ60" s="359">
        <f>(('Methane Leakage'!$G$6/'Methane Leakage'!$G$5)*102*'Emissions Factors'!$D$10*'Calcs - Power'!$G59+'Emissions Factors'!$D$11*('Calcs - Power'!$H59+'Calcs - Power'!$I59+'Calcs - Power'!$J59+'Calcs - Power'!$K59))</f>
        <v>2416.0566038281877</v>
      </c>
      <c r="AK60" s="366">
        <f>(('Methane Leakage'!$G$6/'Methane Leakage'!$G$5)*102*'Emissions Factors'!$D$10*'Calcs - Power'!$B59+'Emissions Factors'!$D$11*('Calcs - Power'!$C59+'Calcs - Power'!$D59+'Calcs - Power'!$E59+'Calcs - Power'!$F59))</f>
        <v>71626.437813562414</v>
      </c>
      <c r="AL60" s="359">
        <f>(102*'Emissions Factors'!$E$10*'Calcs - Power'!$G59+'Emissions Factors'!$E$11*('Calcs - Power'!H59+'Calcs - Power'!I59+'Calcs - Power'!J59+'Calcs - Power'!K59))</f>
        <v>2478.4787666643542</v>
      </c>
      <c r="AM60" s="366">
        <f>(102*'Emissions Factors'!$E$10*'Calcs - Power'!$B59+'Emissions Factors'!$E$11*('Calcs - Power'!C59+'Calcs - Power'!D59+'Calcs - Power'!E59+'Calcs - Power'!F59))</f>
        <v>67266.526930786451</v>
      </c>
      <c r="AN60" s="359">
        <f>(102*'Emissions Factors'!$D$10*'Calcs - Power'!$G59+'Emissions Factors'!$D$11*('Calcs - Power'!$H59+'Calcs - Power'!$I59+'Calcs - Power'!$J59+'Calcs - Power'!$K59))</f>
        <v>2416.0566038281877</v>
      </c>
      <c r="AO60" s="366">
        <f>(102*'Emissions Factors'!$D$10*'Calcs - Power'!$B59+'Emissions Factors'!$D$11*('Calcs - Power'!$C59+'Calcs - Power'!$D59+'Calcs - Power'!$E59+'Calcs - Power'!$F59))</f>
        <v>71626.437813562414</v>
      </c>
      <c r="AP60" s="367">
        <f>(102*'Emissions Factors'!$E$10*'Calcs - Power'!$G59+'Emissions Factors'!$E$11*('Calcs - Power'!H59+'Calcs - Power'!I59+'Calcs - Power'!J59+'Calcs - Power'!K59))</f>
        <v>2478.4787666643542</v>
      </c>
      <c r="AQ60" s="366">
        <f>(102*'Emissions Factors'!$E$10*'Calcs - Power'!$B59+'Emissions Factors'!$E$11*('Calcs - Power'!C59+'Calcs - Power'!D59+'Calcs - Power'!E59+'Calcs - Power'!F59))</f>
        <v>67266.526930786451</v>
      </c>
      <c r="AS60" s="357"/>
      <c r="AT60" s="357"/>
      <c r="AU60" s="357"/>
      <c r="AV60" s="357"/>
      <c r="AX60" s="358">
        <f t="shared" si="13"/>
        <v>48</v>
      </c>
      <c r="AY60" s="359">
        <f>(('Methane Leakage'!$G$6/'Methane Leakage'!$G$5)*102*'Emissions Factors'!$F$10*'Calcs - Power'!$G59+'Emissions Factors'!$F$11*('Calcs - Power'!$H59+'Calcs - Power'!$I59+'Calcs - Power'!$J59+'Calcs - Power'!$K59))</f>
        <v>3182215.1040432244</v>
      </c>
      <c r="AZ60" s="366">
        <f>(('Methane Leakage'!$G$6/'Methane Leakage'!$G$5)*102*'Emissions Factors'!$F$10*'Calcs - Power'!$B59+'Emissions Factors'!$F$11*('Calcs - Power'!$C59+'Calcs - Power'!$D59+'Calcs - Power'!$E59+'Calcs - Power'!$F59))</f>
        <v>92165402.925127283</v>
      </c>
      <c r="BA60" s="359">
        <f>(102*'Emissions Factors'!$G$10*'Calcs - Power'!$G59+'Emissions Factors'!$G$11*('Calcs - Power'!H59+'Calcs - Power'!I59+'Calcs - Power'!J59+'Calcs - Power'!K59))</f>
        <v>2848222.8335256958</v>
      </c>
      <c r="BB60" s="366">
        <f>(102*'Emissions Factors'!$G$10*'Calcs - Power'!$B59+'Emissions Factors'!$G$11*('Calcs - Power'!C59+'Calcs - Power'!D59+'Calcs - Power'!E59+'Calcs - Power'!F59))</f>
        <v>77037663.968409389</v>
      </c>
      <c r="BC60" s="359">
        <f>(102*'Emissions Factors'!$F$10*'Calcs - Power'!$G59+'Emissions Factors'!$F$11*('Calcs - Power'!$H59+'Calcs - Power'!$I59+'Calcs - Power'!$J59+'Calcs - Power'!$K59))</f>
        <v>3182215.1040432244</v>
      </c>
      <c r="BD60" s="366">
        <f>(102*'Emissions Factors'!$F$10*'Calcs - Power'!$B59+'Emissions Factors'!$F$11*('Calcs - Power'!$C59+'Calcs - Power'!$D59+'Calcs - Power'!$E59+'Calcs - Power'!$F59))</f>
        <v>92165402.925127283</v>
      </c>
      <c r="BE60" s="359">
        <f>(102*'Emissions Factors'!$G$10*'Calcs - Power'!$G59+'Emissions Factors'!$G$11*('Calcs - Power'!H59+'Calcs - Power'!I59+'Calcs - Power'!J59+'Calcs - Power'!K59))</f>
        <v>2848222.8335256958</v>
      </c>
      <c r="BF60" s="366">
        <f>(102*'Emissions Factors'!$G$10*'Calcs - Power'!$B59+'Emissions Factors'!$G$11*('Calcs - Power'!C59+'Calcs - Power'!D59+'Calcs - Power'!E59+'Calcs - Power'!F59))</f>
        <v>77037663.968409389</v>
      </c>
    </row>
    <row r="61" spans="1:58" x14ac:dyDescent="0.3">
      <c r="A61" s="351">
        <f t="shared" si="10"/>
        <v>49</v>
      </c>
      <c r="B61" s="352">
        <f t="shared" si="0"/>
        <v>0.99999999999999978</v>
      </c>
      <c r="C61" s="363">
        <f t="shared" si="1"/>
        <v>0.99999999999999989</v>
      </c>
      <c r="D61" s="352">
        <f t="shared" si="2"/>
        <v>1</v>
      </c>
      <c r="E61" s="364">
        <f t="shared" si="3"/>
        <v>1</v>
      </c>
      <c r="F61" s="364">
        <f t="shared" si="4"/>
        <v>1</v>
      </c>
      <c r="G61" s="365">
        <f t="shared" si="5"/>
        <v>1</v>
      </c>
      <c r="P61" s="358">
        <f t="shared" si="11"/>
        <v>49</v>
      </c>
      <c r="Q61" s="359">
        <f>(('Methane Leakage'!$C$6/'Methane Leakage'!$C$5)*102*'Emissions Factors'!$C$38*'Calcs - Power'!$G60+'Emissions Factors'!$C$37*('Calcs - Power'!$H60+'Calcs - Power'!$I60+'Calcs - Power'!$J60+'Calcs - Power'!$K60))</f>
        <v>17139.654275007579</v>
      </c>
      <c r="R61" s="366">
        <f>(('Methane Leakage'!$C$6/'Methane Leakage'!$C$5)*102*'Emissions Factors'!$C$38*'Calcs - Power'!$B60+'Emissions Factors'!$C$37*('Calcs - Power'!$C60+'Calcs - Power'!$D60+'Calcs - Power'!$E60+'Calcs - Power'!$F60))</f>
        <v>507960.30643687653</v>
      </c>
      <c r="S61" s="359">
        <f>(('Methane Leakage'!$C$6/'Methane Leakage'!$C$5)*102*'Emissions Factors'!$D$38*'Calcs - Power'!$G60+'Emissions Factors'!$D$37*('Calcs - Power'!$H60+'Calcs - Power'!$I60+'Calcs - Power'!$J60+'Calcs - Power'!$K60))</f>
        <v>17139.654275007579</v>
      </c>
      <c r="T61" s="366">
        <f>(('Methane Leakage'!$C$6/'Methane Leakage'!$C$5)*102*'Emissions Factors'!$D$38*'Calcs - Power'!$B60+'Emissions Factors'!$D$37*('Calcs - Power'!$C60+'Calcs - Power'!$D60+'Calcs - Power'!$E60+'Calcs - Power'!$F60))</f>
        <v>507960.30643687653</v>
      </c>
      <c r="U61" s="361">
        <f>(102*'Emissions Factors'!$C$36*'Calcs - Power'!$G60+'Emissions Factors'!$C$35*('Calcs - Power'!$H60+'Calcs - Power'!$I60+'Calcs - Power'!$J60+'Calcs - Power'!$K60))</f>
        <v>27998.186008192126</v>
      </c>
      <c r="V61" s="366">
        <f>(102*'Emissions Factors'!$C$36*'Calcs - Power'!$B60+'Emissions Factors'!$C$35*('Calcs - Power'!$C60+'Calcs - Power'!$D60+'Calcs - Power'!$E60+'Calcs - Power'!$F60))</f>
        <v>771153.87147504406</v>
      </c>
      <c r="W61" s="359">
        <f>(102*'Emissions Factors'!$D$36*'Calcs - Power'!$G60+'Emissions Factors'!$D$35*('Calcs - Power'!$H60+'Calcs - Power'!$I60+'Calcs - Power'!$J60+'Calcs - Power'!$K60))</f>
        <v>27998.186008192126</v>
      </c>
      <c r="X61" s="366">
        <f>(102*'Emissions Factors'!$D$36*'Calcs - Power'!$B60+'Emissions Factors'!$D$35*('Calcs - Power'!$C60+'Calcs - Power'!$D60+'Calcs - Power'!$E60+'Calcs - Power'!$F60))</f>
        <v>771153.87147504406</v>
      </c>
      <c r="Y61" s="359">
        <f>(102*'Emissions Factors'!$C$38*'Calcs - Power'!$G60+'Emissions Factors'!$C$37*('Calcs - Power'!$H60+'Calcs - Power'!$I60+'Calcs - Power'!$J60+'Calcs - Power'!$K60))</f>
        <v>17139.654275007579</v>
      </c>
      <c r="Z61" s="366">
        <f>(102*'Emissions Factors'!$C$38*'Calcs - Power'!$B60+'Emissions Factors'!$C$37*('Calcs - Power'!$C60+'Calcs - Power'!$D60+'Calcs - Power'!$E60+'Calcs - Power'!$F60))</f>
        <v>507960.30643687653</v>
      </c>
      <c r="AA61" s="359">
        <f>(102*'Emissions Factors'!$C$36*'Calcs - Power'!$G60+'Emissions Factors'!$C$35*('Calcs - Power'!$H60+'Calcs - Power'!$I60+'Calcs - Power'!$J60+'Calcs - Power'!$K60))</f>
        <v>27998.186008192126</v>
      </c>
      <c r="AB61" s="366">
        <f>(102*'Emissions Factors'!$C$36*'Calcs - Power'!$B60+'Emissions Factors'!$C$35*('Calcs - Power'!$C60+'Calcs - Power'!$D60+'Calcs - Power'!$E60+'Calcs - Power'!$F60))</f>
        <v>771153.87147504406</v>
      </c>
      <c r="AI61" s="358">
        <f t="shared" si="12"/>
        <v>49</v>
      </c>
      <c r="AJ61" s="359">
        <f>(('Methane Leakage'!$G$6/'Methane Leakage'!$G$5)*102*'Emissions Factors'!$D$10*'Calcs - Power'!$G60+'Emissions Factors'!$D$11*('Calcs - Power'!$H60+'Calcs - Power'!$I60+'Calcs - Power'!$J60+'Calcs - Power'!$K60))</f>
        <v>2444.4239038218811</v>
      </c>
      <c r="AK61" s="366">
        <f>(('Methane Leakage'!$G$6/'Methane Leakage'!$G$5)*102*'Emissions Factors'!$D$10*'Calcs - Power'!$B60+'Emissions Factors'!$D$11*('Calcs - Power'!$C60+'Calcs - Power'!$D60+'Calcs - Power'!$E60+'Calcs - Power'!$F60))</f>
        <v>74056.698253205381</v>
      </c>
      <c r="AL61" s="359">
        <f>(102*'Emissions Factors'!$E$10*'Calcs - Power'!$G60+'Emissions Factors'!$E$11*('Calcs - Power'!H60+'Calcs - Power'!I60+'Calcs - Power'!J60+'Calcs - Power'!K60))</f>
        <v>2516.3593436010292</v>
      </c>
      <c r="AM61" s="366">
        <f>(102*'Emissions Factors'!$E$10*'Calcs - Power'!$B60+'Emissions Factors'!$E$11*('Calcs - Power'!C60+'Calcs - Power'!D60+'Calcs - Power'!E60+'Calcs - Power'!F60))</f>
        <v>69763.964977021926</v>
      </c>
      <c r="AN61" s="359">
        <f>(102*'Emissions Factors'!$D$10*'Calcs - Power'!$G60+'Emissions Factors'!$D$11*('Calcs - Power'!$H60+'Calcs - Power'!$I60+'Calcs - Power'!$J60+'Calcs - Power'!$K60))</f>
        <v>2444.4239038218811</v>
      </c>
      <c r="AO61" s="366">
        <f>(102*'Emissions Factors'!$D$10*'Calcs - Power'!$B60+'Emissions Factors'!$D$11*('Calcs - Power'!$C60+'Calcs - Power'!$D60+'Calcs - Power'!$E60+'Calcs - Power'!$F60))</f>
        <v>74056.698253205381</v>
      </c>
      <c r="AP61" s="367">
        <f>(102*'Emissions Factors'!$E$10*'Calcs - Power'!$G60+'Emissions Factors'!$E$11*('Calcs - Power'!H60+'Calcs - Power'!I60+'Calcs - Power'!J60+'Calcs - Power'!K60))</f>
        <v>2516.3593436010292</v>
      </c>
      <c r="AQ61" s="366">
        <f>(102*'Emissions Factors'!$E$10*'Calcs - Power'!$B60+'Emissions Factors'!$E$11*('Calcs - Power'!C60+'Calcs - Power'!D60+'Calcs - Power'!E60+'Calcs - Power'!F60))</f>
        <v>69763.964977021926</v>
      </c>
      <c r="AS61" s="357"/>
      <c r="AT61" s="357"/>
      <c r="AU61" s="357"/>
      <c r="AV61" s="357"/>
      <c r="AX61" s="358">
        <f t="shared" si="13"/>
        <v>49</v>
      </c>
      <c r="AY61" s="359">
        <f>(('Methane Leakage'!$G$6/'Methane Leakage'!$G$5)*102*'Emissions Factors'!$F$10*'Calcs - Power'!$G60+'Emissions Factors'!$F$11*('Calcs - Power'!$H60+'Calcs - Power'!$I60+'Calcs - Power'!$J60+'Calcs - Power'!$K60))</f>
        <v>3222652.4063991858</v>
      </c>
      <c r="AZ61" s="366">
        <f>(('Methane Leakage'!$G$6/'Methane Leakage'!$G$5)*102*'Emissions Factors'!$F$10*'Calcs - Power'!$B60+'Emissions Factors'!$F$11*('Calcs - Power'!$C60+'Calcs - Power'!$D60+'Calcs - Power'!$E60+'Calcs - Power'!$F60))</f>
        <v>95367862.666377783</v>
      </c>
      <c r="BA61" s="359">
        <f>(102*'Emissions Factors'!$G$10*'Calcs - Power'!$G60+'Emissions Factors'!$G$11*('Calcs - Power'!H60+'Calcs - Power'!I60+'Calcs - Power'!J60+'Calcs - Power'!K60))</f>
        <v>2892127.4773615631</v>
      </c>
      <c r="BB61" s="366">
        <f>(102*'Emissions Factors'!$G$10*'Calcs - Power'!$B60+'Emissions Factors'!$G$11*('Calcs - Power'!C60+'Calcs - Power'!D60+'Calcs - Power'!E60+'Calcs - Power'!F60))</f>
        <v>79907860.875181273</v>
      </c>
      <c r="BC61" s="359">
        <f>(102*'Emissions Factors'!$F$10*'Calcs - Power'!$G60+'Emissions Factors'!$F$11*('Calcs - Power'!$H60+'Calcs - Power'!$I60+'Calcs - Power'!$J60+'Calcs - Power'!$K60))</f>
        <v>3222652.4063991858</v>
      </c>
      <c r="BD61" s="366">
        <f>(102*'Emissions Factors'!$F$10*'Calcs - Power'!$B60+'Emissions Factors'!$F$11*('Calcs - Power'!$C60+'Calcs - Power'!$D60+'Calcs - Power'!$E60+'Calcs - Power'!$F60))</f>
        <v>95367862.666377783</v>
      </c>
      <c r="BE61" s="359">
        <f>(102*'Emissions Factors'!$G$10*'Calcs - Power'!$G60+'Emissions Factors'!$G$11*('Calcs - Power'!H60+'Calcs - Power'!I60+'Calcs - Power'!J60+'Calcs - Power'!K60))</f>
        <v>2892127.4773615631</v>
      </c>
      <c r="BF61" s="366">
        <f>(102*'Emissions Factors'!$G$10*'Calcs - Power'!$B60+'Emissions Factors'!$G$11*('Calcs - Power'!C60+'Calcs - Power'!D60+'Calcs - Power'!E60+'Calcs - Power'!F60))</f>
        <v>79907860.875181273</v>
      </c>
    </row>
    <row r="62" spans="1:58" x14ac:dyDescent="0.3">
      <c r="A62" s="351">
        <f t="shared" si="10"/>
        <v>50</v>
      </c>
      <c r="B62" s="352">
        <f t="shared" si="0"/>
        <v>1</v>
      </c>
      <c r="C62" s="363">
        <f t="shared" si="1"/>
        <v>0.99999999999999989</v>
      </c>
      <c r="D62" s="352">
        <f t="shared" si="2"/>
        <v>1</v>
      </c>
      <c r="E62" s="364">
        <f t="shared" si="3"/>
        <v>1</v>
      </c>
      <c r="F62" s="364">
        <f t="shared" si="4"/>
        <v>1</v>
      </c>
      <c r="G62" s="365">
        <f t="shared" si="5"/>
        <v>1</v>
      </c>
      <c r="P62" s="358">
        <f t="shared" si="11"/>
        <v>50</v>
      </c>
      <c r="Q62" s="359">
        <f>(('Methane Leakage'!$C$6/'Methane Leakage'!$C$5)*102*'Emissions Factors'!$C$38*'Calcs - Power'!$G61+'Emissions Factors'!$C$37*('Calcs - Power'!$H61+'Calcs - Power'!$I61+'Calcs - Power'!$J61+'Calcs - Power'!$K61))</f>
        <v>17352.095273040133</v>
      </c>
      <c r="R62" s="366">
        <f>(('Methane Leakage'!$C$6/'Methane Leakage'!$C$5)*102*'Emissions Factors'!$C$38*'Calcs - Power'!$B61+'Emissions Factors'!$C$37*('Calcs - Power'!$C61+'Calcs - Power'!$D61+'Calcs - Power'!$E61+'Calcs - Power'!$F61))</f>
        <v>525206.31333114079</v>
      </c>
      <c r="S62" s="359">
        <f>(('Methane Leakage'!$C$6/'Methane Leakage'!$C$5)*102*'Emissions Factors'!$D$38*'Calcs - Power'!$G61+'Emissions Factors'!$D$37*('Calcs - Power'!$H61+'Calcs - Power'!$I61+'Calcs - Power'!$J61+'Calcs - Power'!$K61))</f>
        <v>17352.095273040133</v>
      </c>
      <c r="T62" s="366">
        <f>(('Methane Leakage'!$C$6/'Methane Leakage'!$C$5)*102*'Emissions Factors'!$D$38*'Calcs - Power'!$B61+'Emissions Factors'!$D$37*('Calcs - Power'!$C61+'Calcs - Power'!$D61+'Calcs - Power'!$E61+'Calcs - Power'!$F61))</f>
        <v>525206.31333114079</v>
      </c>
      <c r="U62" s="361">
        <f>(102*'Emissions Factors'!$C$36*'Calcs - Power'!$G61+'Emissions Factors'!$C$35*('Calcs - Power'!$H61+'Calcs - Power'!$I61+'Calcs - Power'!$J61+'Calcs - Power'!$K61))</f>
        <v>28423.988121121343</v>
      </c>
      <c r="V62" s="366">
        <f>(102*'Emissions Factors'!$C$36*'Calcs - Power'!$B61+'Emissions Factors'!$C$35*('Calcs - Power'!$C61+'Calcs - Power'!$D61+'Calcs - Power'!$E61+'Calcs - Power'!$F61))</f>
        <v>799365.16144785727</v>
      </c>
      <c r="W62" s="359">
        <f>(102*'Emissions Factors'!$D$36*'Calcs - Power'!$G61+'Emissions Factors'!$D$35*('Calcs - Power'!$H61+'Calcs - Power'!$I61+'Calcs - Power'!$J61+'Calcs - Power'!$K61))</f>
        <v>28423.988121121343</v>
      </c>
      <c r="X62" s="366">
        <f>(102*'Emissions Factors'!$D$36*'Calcs - Power'!$B61+'Emissions Factors'!$D$35*('Calcs - Power'!$C61+'Calcs - Power'!$D61+'Calcs - Power'!$E61+'Calcs - Power'!$F61))</f>
        <v>799365.16144785727</v>
      </c>
      <c r="Y62" s="359">
        <f>(102*'Emissions Factors'!$C$38*'Calcs - Power'!$G61+'Emissions Factors'!$C$37*('Calcs - Power'!$H61+'Calcs - Power'!$I61+'Calcs - Power'!$J61+'Calcs - Power'!$K61))</f>
        <v>17352.095273040133</v>
      </c>
      <c r="Z62" s="366">
        <f>(102*'Emissions Factors'!$C$38*'Calcs - Power'!$B61+'Emissions Factors'!$C$37*('Calcs - Power'!$C61+'Calcs - Power'!$D61+'Calcs - Power'!$E61+'Calcs - Power'!$F61))</f>
        <v>525206.31333114079</v>
      </c>
      <c r="AA62" s="359">
        <f>(102*'Emissions Factors'!$C$36*'Calcs - Power'!$G61+'Emissions Factors'!$C$35*('Calcs - Power'!$H61+'Calcs - Power'!$I61+'Calcs - Power'!$J61+'Calcs - Power'!$K61))</f>
        <v>28423.988121121343</v>
      </c>
      <c r="AB62" s="366">
        <f>(102*'Emissions Factors'!$C$36*'Calcs - Power'!$B61+'Emissions Factors'!$C$35*('Calcs - Power'!$C61+'Calcs - Power'!$D61+'Calcs - Power'!$E61+'Calcs - Power'!$F61))</f>
        <v>799365.16144785727</v>
      </c>
      <c r="AI62" s="358">
        <f t="shared" si="12"/>
        <v>50</v>
      </c>
      <c r="AJ62" s="359">
        <f>(('Methane Leakage'!$G$6/'Methane Leakage'!$G$5)*102*'Emissions Factors'!$D$10*'Calcs - Power'!$G61+'Emissions Factors'!$D$11*('Calcs - Power'!$H61+'Calcs - Power'!$I61+'Calcs - Power'!$J61+'Calcs - Power'!$K61))</f>
        <v>2472.5549562329511</v>
      </c>
      <c r="AK62" s="366">
        <f>(('Methane Leakage'!$G$6/'Methane Leakage'!$G$5)*102*'Emissions Factors'!$D$10*'Calcs - Power'!$B61+'Emissions Factors'!$D$11*('Calcs - Power'!$C61+'Calcs - Power'!$D61+'Calcs - Power'!$E61+'Calcs - Power'!$F61))</f>
        <v>76515.206881214239</v>
      </c>
      <c r="AL62" s="359">
        <f>(102*'Emissions Factors'!$E$10*'Calcs - Power'!$G61+'Emissions Factors'!$E$11*('Calcs - Power'!H61+'Calcs - Power'!I61+'Calcs - Power'!J61+'Calcs - Power'!K61))</f>
        <v>2554.0159809776924</v>
      </c>
      <c r="AM62" s="366">
        <f>(102*'Emissions Factors'!$E$10*'Calcs - Power'!$B61+'Emissions Factors'!$E$11*('Calcs - Power'!C61+'Calcs - Power'!D61+'Calcs - Power'!E61+'Calcs - Power'!F61))</f>
        <v>72299.170976289184</v>
      </c>
      <c r="AN62" s="359">
        <f>(102*'Emissions Factors'!$D$10*'Calcs - Power'!$G61+'Emissions Factors'!$D$11*('Calcs - Power'!$H61+'Calcs - Power'!$I61+'Calcs - Power'!$J61+'Calcs - Power'!$K61))</f>
        <v>2472.5549562329511</v>
      </c>
      <c r="AO62" s="366">
        <f>(102*'Emissions Factors'!$D$10*'Calcs - Power'!$B61+'Emissions Factors'!$D$11*('Calcs - Power'!$C61+'Calcs - Power'!$D61+'Calcs - Power'!$E61+'Calcs - Power'!$F61))</f>
        <v>76515.206881214239</v>
      </c>
      <c r="AP62" s="367">
        <f>(102*'Emissions Factors'!$E$10*'Calcs - Power'!$G61+'Emissions Factors'!$E$11*('Calcs - Power'!H61+'Calcs - Power'!I61+'Calcs - Power'!J61+'Calcs - Power'!K61))</f>
        <v>2554.0159809776924</v>
      </c>
      <c r="AQ62" s="366">
        <f>(102*'Emissions Factors'!$E$10*'Calcs - Power'!$B61+'Emissions Factors'!$E$11*('Calcs - Power'!C61+'Calcs - Power'!D61+'Calcs - Power'!E61+'Calcs - Power'!F61))</f>
        <v>72299.170976289184</v>
      </c>
      <c r="AS62" s="357"/>
      <c r="AT62" s="357"/>
      <c r="AU62" s="357"/>
      <c r="AV62" s="357"/>
      <c r="AX62" s="358">
        <f t="shared" si="13"/>
        <v>50</v>
      </c>
      <c r="AY62" s="359">
        <f>(('Methane Leakage'!$G$6/'Methane Leakage'!$G$5)*102*'Emissions Factors'!$F$10*'Calcs - Power'!$G61+'Emissions Factors'!$F$11*('Calcs - Power'!$H61+'Calcs - Power'!$I61+'Calcs - Power'!$J61+'Calcs - Power'!$K61))</f>
        <v>3262784.9912575576</v>
      </c>
      <c r="AZ62" s="366">
        <f>(('Methane Leakage'!$G$6/'Methane Leakage'!$G$5)*102*'Emissions Factors'!$F$10*'Calcs - Power'!$B61+'Emissions Factors'!$F$11*('Calcs - Power'!$C61+'Calcs - Power'!$D61+'Calcs - Power'!$E61+'Calcs - Power'!$F61))</f>
        <v>98610606.175929427</v>
      </c>
      <c r="BA62" s="359">
        <f>(102*'Emissions Factors'!$G$10*'Calcs - Power'!$G61+'Emissions Factors'!$G$11*('Calcs - Power'!H61+'Calcs - Power'!I61+'Calcs - Power'!J61+'Calcs - Power'!K61))</f>
        <v>2935775.5560135879</v>
      </c>
      <c r="BB62" s="366">
        <f>(102*'Emissions Factors'!$G$10*'Calcs - Power'!$B61+'Emissions Factors'!$G$11*('Calcs - Power'!C61+'Calcs - Power'!D61+'Calcs - Power'!E61+'Calcs - Power'!F61))</f>
        <v>82821833.406748191</v>
      </c>
      <c r="BC62" s="359">
        <f>(102*'Emissions Factors'!$F$10*'Calcs - Power'!$G61+'Emissions Factors'!$F$11*('Calcs - Power'!$H61+'Calcs - Power'!$I61+'Calcs - Power'!$J61+'Calcs - Power'!$K61))</f>
        <v>3262784.9912575576</v>
      </c>
      <c r="BD62" s="366">
        <f>(102*'Emissions Factors'!$F$10*'Calcs - Power'!$B61+'Emissions Factors'!$F$11*('Calcs - Power'!$C61+'Calcs - Power'!$D61+'Calcs - Power'!$E61+'Calcs - Power'!$F61))</f>
        <v>98610606.175929427</v>
      </c>
      <c r="BE62" s="359">
        <f>(102*'Emissions Factors'!$G$10*'Calcs - Power'!$G61+'Emissions Factors'!$G$11*('Calcs - Power'!H61+'Calcs - Power'!I61+'Calcs - Power'!J61+'Calcs - Power'!K61))</f>
        <v>2935775.5560135879</v>
      </c>
      <c r="BF62" s="366">
        <f>(102*'Emissions Factors'!$G$10*'Calcs - Power'!$B61+'Emissions Factors'!$G$11*('Calcs - Power'!C61+'Calcs - Power'!D61+'Calcs - Power'!E61+'Calcs - Power'!F61))</f>
        <v>82821833.406748191</v>
      </c>
    </row>
    <row r="63" spans="1:58" x14ac:dyDescent="0.3">
      <c r="A63" s="351">
        <f t="shared" si="10"/>
        <v>51</v>
      </c>
      <c r="B63" s="352">
        <f t="shared" si="0"/>
        <v>0.99999999999999978</v>
      </c>
      <c r="C63" s="363">
        <f t="shared" si="1"/>
        <v>1</v>
      </c>
      <c r="D63" s="352">
        <f t="shared" si="2"/>
        <v>1</v>
      </c>
      <c r="E63" s="364">
        <f t="shared" si="3"/>
        <v>1</v>
      </c>
      <c r="F63" s="364">
        <f t="shared" si="4"/>
        <v>1</v>
      </c>
      <c r="G63" s="365">
        <f t="shared" si="5"/>
        <v>1</v>
      </c>
      <c r="P63" s="358">
        <f t="shared" si="11"/>
        <v>51</v>
      </c>
      <c r="Q63" s="359">
        <f>(('Methane Leakage'!$C$6/'Methane Leakage'!$C$5)*102*'Emissions Factors'!$C$38*'Calcs - Power'!$G62+'Emissions Factors'!$C$37*('Calcs - Power'!$H62+'Calcs - Power'!$I62+'Calcs - Power'!$J62+'Calcs - Power'!$K62))</f>
        <v>17562.986451079327</v>
      </c>
      <c r="R63" s="366">
        <f>(('Methane Leakage'!$C$6/'Methane Leakage'!$C$5)*102*'Emissions Factors'!$C$38*'Calcs - Power'!$B62+'Emissions Factors'!$C$37*('Calcs - Power'!$C62+'Calcs - Power'!$D62+'Calcs - Power'!$E62+'Calcs - Power'!$F62))</f>
        <v>542663.98042874108</v>
      </c>
      <c r="S63" s="359">
        <f>(('Methane Leakage'!$C$6/'Methane Leakage'!$C$5)*102*'Emissions Factors'!$D$38*'Calcs - Power'!$G62+'Emissions Factors'!$D$37*('Calcs - Power'!$H62+'Calcs - Power'!$I62+'Calcs - Power'!$J62+'Calcs - Power'!$K62))</f>
        <v>17562.986451079327</v>
      </c>
      <c r="T63" s="366">
        <f>(('Methane Leakage'!$C$6/'Methane Leakage'!$C$5)*102*'Emissions Factors'!$D$38*'Calcs - Power'!$B62+'Emissions Factors'!$D$37*('Calcs - Power'!$C62+'Calcs - Power'!$D62+'Calcs - Power'!$E62+'Calcs - Power'!$F62))</f>
        <v>542663.98042874108</v>
      </c>
      <c r="U63" s="361">
        <f>(102*'Emissions Factors'!$C$36*'Calcs - Power'!$G62+'Emissions Factors'!$C$35*('Calcs - Power'!$H62+'Calcs - Power'!$I62+'Calcs - Power'!$J62+'Calcs - Power'!$K62))</f>
        <v>28847.395396598298</v>
      </c>
      <c r="V63" s="366">
        <f>(102*'Emissions Factors'!$C$36*'Calcs - Power'!$B62+'Emissions Factors'!$C$35*('Calcs - Power'!$C62+'Calcs - Power'!$D62+'Calcs - Power'!$E62+'Calcs - Power'!$F62))</f>
        <v>828001.04948528018</v>
      </c>
      <c r="W63" s="359">
        <f>(102*'Emissions Factors'!$D$36*'Calcs - Power'!$G62+'Emissions Factors'!$D$35*('Calcs - Power'!$H62+'Calcs - Power'!$I62+'Calcs - Power'!$J62+'Calcs - Power'!$K62))</f>
        <v>28847.395396598298</v>
      </c>
      <c r="X63" s="366">
        <f>(102*'Emissions Factors'!$D$36*'Calcs - Power'!$B62+'Emissions Factors'!$D$35*('Calcs - Power'!$C62+'Calcs - Power'!$D62+'Calcs - Power'!$E62+'Calcs - Power'!$F62))</f>
        <v>828001.04948528018</v>
      </c>
      <c r="Y63" s="359">
        <f>(102*'Emissions Factors'!$C$38*'Calcs - Power'!$G62+'Emissions Factors'!$C$37*('Calcs - Power'!$H62+'Calcs - Power'!$I62+'Calcs - Power'!$J62+'Calcs - Power'!$K62))</f>
        <v>17562.986451079327</v>
      </c>
      <c r="Z63" s="366">
        <f>(102*'Emissions Factors'!$C$38*'Calcs - Power'!$B62+'Emissions Factors'!$C$37*('Calcs - Power'!$C62+'Calcs - Power'!$D62+'Calcs - Power'!$E62+'Calcs - Power'!$F62))</f>
        <v>542663.98042874108</v>
      </c>
      <c r="AA63" s="359">
        <f>(102*'Emissions Factors'!$C$36*'Calcs - Power'!$G62+'Emissions Factors'!$C$35*('Calcs - Power'!$H62+'Calcs - Power'!$I62+'Calcs - Power'!$J62+'Calcs - Power'!$K62))</f>
        <v>28847.395396598298</v>
      </c>
      <c r="AB63" s="366">
        <f>(102*'Emissions Factors'!$C$36*'Calcs - Power'!$B62+'Emissions Factors'!$C$35*('Calcs - Power'!$C62+'Calcs - Power'!$D62+'Calcs - Power'!$E62+'Calcs - Power'!$F62))</f>
        <v>828001.04948528018</v>
      </c>
      <c r="AI63" s="358">
        <f t="shared" si="12"/>
        <v>51</v>
      </c>
      <c r="AJ63" s="359">
        <f>(('Methane Leakage'!$G$6/'Methane Leakage'!$G$5)*102*'Emissions Factors'!$D$10*'Calcs - Power'!$G62+'Emissions Factors'!$D$11*('Calcs - Power'!$H62+'Calcs - Power'!$I62+'Calcs - Power'!$J62+'Calcs - Power'!$K62))</f>
        <v>2500.4612120702463</v>
      </c>
      <c r="AK63" s="366">
        <f>(('Methane Leakage'!$G$6/'Methane Leakage'!$G$5)*102*'Emissions Factors'!$D$10*'Calcs - Power'!$B62+'Emissions Factors'!$D$11*('Calcs - Power'!$C62+'Calcs - Power'!$D62+'Calcs - Power'!$E62+'Calcs - Power'!$F62))</f>
        <v>79001.733242020113</v>
      </c>
      <c r="AL63" s="359">
        <f>(102*'Emissions Factors'!$E$10*'Calcs - Power'!$G62+'Emissions Factors'!$E$11*('Calcs - Power'!H62+'Calcs - Power'!I62+'Calcs - Power'!J62+'Calcs - Power'!K62))</f>
        <v>2591.4563160969315</v>
      </c>
      <c r="AM63" s="366">
        <f>(102*'Emissions Factors'!$E$10*'Calcs - Power'!$B62+'Emissions Factors'!$E$11*('Calcs - Power'!C62+'Calcs - Power'!D62+'Calcs - Power'!E62+'Calcs - Power'!F62))</f>
        <v>74871.92484276164</v>
      </c>
      <c r="AN63" s="359">
        <f>(102*'Emissions Factors'!$D$10*'Calcs - Power'!$G62+'Emissions Factors'!$D$11*('Calcs - Power'!$H62+'Calcs - Power'!$I62+'Calcs - Power'!$J62+'Calcs - Power'!$K62))</f>
        <v>2500.4612120702463</v>
      </c>
      <c r="AO63" s="366">
        <f>(102*'Emissions Factors'!$D$10*'Calcs - Power'!$B62+'Emissions Factors'!$D$11*('Calcs - Power'!$C62+'Calcs - Power'!$D62+'Calcs - Power'!$E62+'Calcs - Power'!$F62))</f>
        <v>79001.733242020113</v>
      </c>
      <c r="AP63" s="367">
        <f>(102*'Emissions Factors'!$E$10*'Calcs - Power'!$G62+'Emissions Factors'!$E$11*('Calcs - Power'!H62+'Calcs - Power'!I62+'Calcs - Power'!J62+'Calcs - Power'!K62))</f>
        <v>2591.4563160969315</v>
      </c>
      <c r="AQ63" s="366">
        <f>(102*'Emissions Factors'!$E$10*'Calcs - Power'!$B62+'Emissions Factors'!$E$11*('Calcs - Power'!C62+'Calcs - Power'!D62+'Calcs - Power'!E62+'Calcs - Power'!F62))</f>
        <v>74871.92484276164</v>
      </c>
      <c r="AS63" s="357"/>
      <c r="AT63" s="357"/>
      <c r="AU63" s="357"/>
      <c r="AV63" s="357"/>
      <c r="AX63" s="358">
        <f t="shared" si="13"/>
        <v>51</v>
      </c>
      <c r="AY63" s="359">
        <f>(('Methane Leakage'!$G$6/'Methane Leakage'!$G$5)*102*'Emissions Factors'!$F$10*'Calcs - Power'!$G62+'Emissions Factors'!$F$11*('Calcs - Power'!$H62+'Calcs - Power'!$I62+'Calcs - Power'!$J62+'Calcs - Power'!$K62))</f>
        <v>3302626.5019222605</v>
      </c>
      <c r="AZ63" s="366">
        <f>(('Methane Leakage'!$G$6/'Methane Leakage'!$G$5)*102*'Emissions Factors'!$F$10*'Calcs - Power'!$B62+'Emissions Factors'!$F$11*('Calcs - Power'!$C62+'Calcs - Power'!$D62+'Calcs - Power'!$E62+'Calcs - Power'!$F62))</f>
        <v>101893335.63393094</v>
      </c>
      <c r="BA63" s="359">
        <f>(102*'Emissions Factors'!$G$10*'Calcs - Power'!$G62+'Emissions Factors'!$G$11*('Calcs - Power'!H62+'Calcs - Power'!I62+'Calcs - Power'!J62+'Calcs - Power'!K62))</f>
        <v>2979175.6715657082</v>
      </c>
      <c r="BB63" s="366">
        <f>(102*'Emissions Factors'!$G$10*'Calcs - Power'!$B62+'Emissions Factors'!$G$11*('Calcs - Power'!C62+'Calcs - Power'!D62+'Calcs - Power'!E62+'Calcs - Power'!F62))</f>
        <v>85779329.337876037</v>
      </c>
      <c r="BC63" s="359">
        <f>(102*'Emissions Factors'!$F$10*'Calcs - Power'!$G62+'Emissions Factors'!$F$11*('Calcs - Power'!$H62+'Calcs - Power'!$I62+'Calcs - Power'!$J62+'Calcs - Power'!$K62))</f>
        <v>3302626.5019222605</v>
      </c>
      <c r="BD63" s="366">
        <f>(102*'Emissions Factors'!$F$10*'Calcs - Power'!$B62+'Emissions Factors'!$F$11*('Calcs - Power'!$C62+'Calcs - Power'!$D62+'Calcs - Power'!$E62+'Calcs - Power'!$F62))</f>
        <v>101893335.63393094</v>
      </c>
      <c r="BE63" s="359">
        <f>(102*'Emissions Factors'!$G$10*'Calcs - Power'!$G62+'Emissions Factors'!$G$11*('Calcs - Power'!H62+'Calcs - Power'!I62+'Calcs - Power'!J62+'Calcs - Power'!K62))</f>
        <v>2979175.6715657082</v>
      </c>
      <c r="BF63" s="366">
        <f>(102*'Emissions Factors'!$G$10*'Calcs - Power'!$B62+'Emissions Factors'!$G$11*('Calcs - Power'!C62+'Calcs - Power'!D62+'Calcs - Power'!E62+'Calcs - Power'!F62))</f>
        <v>85779329.337876037</v>
      </c>
    </row>
    <row r="64" spans="1:58" x14ac:dyDescent="0.3">
      <c r="A64" s="351">
        <f t="shared" si="10"/>
        <v>52</v>
      </c>
      <c r="B64" s="352">
        <f t="shared" si="0"/>
        <v>1</v>
      </c>
      <c r="C64" s="363">
        <f t="shared" si="1"/>
        <v>1</v>
      </c>
      <c r="D64" s="352">
        <f t="shared" si="2"/>
        <v>1</v>
      </c>
      <c r="E64" s="364">
        <f t="shared" si="3"/>
        <v>1</v>
      </c>
      <c r="F64" s="364">
        <f t="shared" si="4"/>
        <v>1</v>
      </c>
      <c r="G64" s="365">
        <f t="shared" si="5"/>
        <v>1</v>
      </c>
      <c r="P64" s="358">
        <f t="shared" si="11"/>
        <v>52</v>
      </c>
      <c r="Q64" s="359">
        <f>(('Methane Leakage'!$C$6/'Methane Leakage'!$C$5)*102*'Emissions Factors'!$C$38*'Calcs - Power'!$G63+'Emissions Factors'!$C$37*('Calcs - Power'!$H63+'Calcs - Power'!$I63+'Calcs - Power'!$J63+'Calcs - Power'!$K63))</f>
        <v>17772.396126516163</v>
      </c>
      <c r="R64" s="366">
        <f>(('Methane Leakage'!$C$6/'Methane Leakage'!$C$5)*102*'Emissions Factors'!$C$38*'Calcs - Power'!$B63+'Emissions Factors'!$C$37*('Calcs - Power'!$C63+'Calcs - Power'!$D63+'Calcs - Power'!$E63+'Calcs - Power'!$F63))</f>
        <v>560331.7924478869</v>
      </c>
      <c r="S64" s="359">
        <f>(('Methane Leakage'!$C$6/'Methane Leakage'!$C$5)*102*'Emissions Factors'!$D$38*'Calcs - Power'!$G63+'Emissions Factors'!$D$37*('Calcs - Power'!$H63+'Calcs - Power'!$I63+'Calcs - Power'!$J63+'Calcs - Power'!$K63))</f>
        <v>17772.396126516163</v>
      </c>
      <c r="T64" s="366">
        <f>(('Methane Leakage'!$C$6/'Methane Leakage'!$C$5)*102*'Emissions Factors'!$D$38*'Calcs - Power'!$B63+'Emissions Factors'!$D$37*('Calcs - Power'!$C63+'Calcs - Power'!$D63+'Calcs - Power'!$E63+'Calcs - Power'!$F63))</f>
        <v>560331.7924478869</v>
      </c>
      <c r="U64" s="361">
        <f>(102*'Emissions Factors'!$C$36*'Calcs - Power'!$G63+'Emissions Factors'!$C$35*('Calcs - Power'!$H63+'Calcs - Power'!$I63+'Calcs - Power'!$J63+'Calcs - Power'!$K63))</f>
        <v>29268.485312873207</v>
      </c>
      <c r="V64" s="366">
        <f>(102*'Emissions Factors'!$C$36*'Calcs - Power'!$B63+'Emissions Factors'!$C$35*('Calcs - Power'!$C63+'Calcs - Power'!$D63+'Calcs - Power'!$E63+'Calcs - Power'!$F63))</f>
        <v>857059.17983245431</v>
      </c>
      <c r="W64" s="359">
        <f>(102*'Emissions Factors'!$D$36*'Calcs - Power'!$G63+'Emissions Factors'!$D$35*('Calcs - Power'!$H63+'Calcs - Power'!$I63+'Calcs - Power'!$J63+'Calcs - Power'!$K63))</f>
        <v>29268.485312873207</v>
      </c>
      <c r="X64" s="366">
        <f>(102*'Emissions Factors'!$D$36*'Calcs - Power'!$B63+'Emissions Factors'!$D$35*('Calcs - Power'!$C63+'Calcs - Power'!$D63+'Calcs - Power'!$E63+'Calcs - Power'!$F63))</f>
        <v>857059.17983245431</v>
      </c>
      <c r="Y64" s="359">
        <f>(102*'Emissions Factors'!$C$38*'Calcs - Power'!$G63+'Emissions Factors'!$C$37*('Calcs - Power'!$H63+'Calcs - Power'!$I63+'Calcs - Power'!$J63+'Calcs - Power'!$K63))</f>
        <v>17772.396126516163</v>
      </c>
      <c r="Z64" s="366">
        <f>(102*'Emissions Factors'!$C$38*'Calcs - Power'!$B63+'Emissions Factors'!$C$37*('Calcs - Power'!$C63+'Calcs - Power'!$D63+'Calcs - Power'!$E63+'Calcs - Power'!$F63))</f>
        <v>560331.7924478869</v>
      </c>
      <c r="AA64" s="359">
        <f>(102*'Emissions Factors'!$C$36*'Calcs - Power'!$G63+'Emissions Factors'!$C$35*('Calcs - Power'!$H63+'Calcs - Power'!$I63+'Calcs - Power'!$J63+'Calcs - Power'!$K63))</f>
        <v>29268.485312873207</v>
      </c>
      <c r="AB64" s="366">
        <f>(102*'Emissions Factors'!$C$36*'Calcs - Power'!$B63+'Emissions Factors'!$C$35*('Calcs - Power'!$C63+'Calcs - Power'!$D63+'Calcs - Power'!$E63+'Calcs - Power'!$F63))</f>
        <v>857059.17983245431</v>
      </c>
      <c r="AI64" s="358">
        <f t="shared" si="12"/>
        <v>52</v>
      </c>
      <c r="AJ64" s="359">
        <f>(('Methane Leakage'!$G$6/'Methane Leakage'!$G$5)*102*'Emissions Factors'!$D$10*'Calcs - Power'!$G63+'Emissions Factors'!$D$11*('Calcs - Power'!$H63+'Calcs - Power'!$I63+'Calcs - Power'!$J63+'Calcs - Power'!$K63))</f>
        <v>2528.153353204596</v>
      </c>
      <c r="AK64" s="366">
        <f>(('Methane Leakage'!$G$6/'Methane Leakage'!$G$5)*102*'Emissions Factors'!$D$10*'Calcs - Power'!$B63+'Emissions Factors'!$D$11*('Calcs - Power'!$C63+'Calcs - Power'!$D63+'Calcs - Power'!$E63+'Calcs - Power'!$F63))</f>
        <v>81516.057941714243</v>
      </c>
      <c r="AL64" s="359">
        <f>(102*'Emissions Factors'!$E$10*'Calcs - Power'!$G63+'Emissions Factors'!$E$11*('Calcs - Power'!H63+'Calcs - Power'!I63+'Calcs - Power'!J63+'Calcs - Power'!K63))</f>
        <v>2628.6875777555342</v>
      </c>
      <c r="AM64" s="366">
        <f>(102*'Emissions Factors'!$E$10*'Calcs - Power'!$B63+'Emissions Factors'!$E$11*('Calcs - Power'!C63+'Calcs - Power'!D63+'Calcs - Power'!E63+'Calcs - Power'!F63))</f>
        <v>77482.013921600083</v>
      </c>
      <c r="AN64" s="359">
        <f>(102*'Emissions Factors'!$D$10*'Calcs - Power'!$G63+'Emissions Factors'!$D$11*('Calcs - Power'!$H63+'Calcs - Power'!$I63+'Calcs - Power'!$J63+'Calcs - Power'!$K63))</f>
        <v>2528.153353204596</v>
      </c>
      <c r="AO64" s="366">
        <f>(102*'Emissions Factors'!$D$10*'Calcs - Power'!$B63+'Emissions Factors'!$D$11*('Calcs - Power'!$C63+'Calcs - Power'!$D63+'Calcs - Power'!$E63+'Calcs - Power'!$F63))</f>
        <v>81516.057941714243</v>
      </c>
      <c r="AP64" s="367">
        <f>(102*'Emissions Factors'!$E$10*'Calcs - Power'!$G63+'Emissions Factors'!$E$11*('Calcs - Power'!H63+'Calcs - Power'!I63+'Calcs - Power'!J63+'Calcs - Power'!K63))</f>
        <v>2628.6875777555342</v>
      </c>
      <c r="AQ64" s="366">
        <f>(102*'Emissions Factors'!$E$10*'Calcs - Power'!$B63+'Emissions Factors'!$E$11*('Calcs - Power'!C63+'Calcs - Power'!D63+'Calcs - Power'!E63+'Calcs - Power'!F63))</f>
        <v>77482.013921600083</v>
      </c>
      <c r="AS64" s="357"/>
      <c r="AT64" s="357"/>
      <c r="AU64" s="357"/>
      <c r="AV64" s="357"/>
      <c r="AX64" s="358">
        <f t="shared" si="13"/>
        <v>52</v>
      </c>
      <c r="AY64" s="359">
        <f>(('Methane Leakage'!$G$6/'Methane Leakage'!$G$5)*102*'Emissions Factors'!$F$10*'Calcs - Power'!$G63+'Emissions Factors'!$F$11*('Calcs - Power'!$H63+'Calcs - Power'!$I63+'Calcs - Power'!$J63+'Calcs - Power'!$K63))</f>
        <v>3342189.7018890744</v>
      </c>
      <c r="AZ64" s="366">
        <f>(('Methane Leakage'!$G$6/'Methane Leakage'!$G$5)*102*'Emissions Factors'!$F$10*'Calcs - Power'!$B63+'Emissions Factors'!$F$11*('Calcs - Power'!$C63+'Calcs - Power'!$D63+'Calcs - Power'!$E63+'Calcs - Power'!$F63))</f>
        <v>105215766.41863023</v>
      </c>
      <c r="BA64" s="359">
        <f>(102*'Emissions Factors'!$G$10*'Calcs - Power'!$G63+'Emissions Factors'!$G$11*('Calcs - Power'!H63+'Calcs - Power'!I63+'Calcs - Power'!J63+'Calcs - Power'!K63))</f>
        <v>3022335.9728174368</v>
      </c>
      <c r="BB64" s="366">
        <f>(102*'Emissions Factors'!$G$10*'Calcs - Power'!$B63+'Emissions Factors'!$G$11*('Calcs - Power'!C63+'Calcs - Power'!D63+'Calcs - Power'!E63+'Calcs - Power'!F63))</f>
        <v>88780104.81652312</v>
      </c>
      <c r="BC64" s="359">
        <f>(102*'Emissions Factors'!$F$10*'Calcs - Power'!$G63+'Emissions Factors'!$F$11*('Calcs - Power'!$H63+'Calcs - Power'!$I63+'Calcs - Power'!$J63+'Calcs - Power'!$K63))</f>
        <v>3342189.7018890744</v>
      </c>
      <c r="BD64" s="366">
        <f>(102*'Emissions Factors'!$F$10*'Calcs - Power'!$B63+'Emissions Factors'!$F$11*('Calcs - Power'!$C63+'Calcs - Power'!$D63+'Calcs - Power'!$E63+'Calcs - Power'!$F63))</f>
        <v>105215766.41863023</v>
      </c>
      <c r="BE64" s="359">
        <f>(102*'Emissions Factors'!$G$10*'Calcs - Power'!$G63+'Emissions Factors'!$G$11*('Calcs - Power'!H63+'Calcs - Power'!I63+'Calcs - Power'!J63+'Calcs - Power'!K63))</f>
        <v>3022335.9728174368</v>
      </c>
      <c r="BF64" s="366">
        <f>(102*'Emissions Factors'!$G$10*'Calcs - Power'!$B63+'Emissions Factors'!$G$11*('Calcs - Power'!C63+'Calcs - Power'!D63+'Calcs - Power'!E63+'Calcs - Power'!F63))</f>
        <v>88780104.81652312</v>
      </c>
    </row>
    <row r="65" spans="1:58" x14ac:dyDescent="0.3">
      <c r="A65" s="351">
        <f t="shared" si="10"/>
        <v>53</v>
      </c>
      <c r="B65" s="352">
        <f t="shared" si="0"/>
        <v>0.99999999999999978</v>
      </c>
      <c r="C65" s="363">
        <f t="shared" si="1"/>
        <v>1</v>
      </c>
      <c r="D65" s="352">
        <f t="shared" si="2"/>
        <v>1</v>
      </c>
      <c r="E65" s="364">
        <f t="shared" si="3"/>
        <v>1</v>
      </c>
      <c r="F65" s="364">
        <f t="shared" si="4"/>
        <v>1</v>
      </c>
      <c r="G65" s="365">
        <f t="shared" si="5"/>
        <v>1</v>
      </c>
      <c r="P65" s="358">
        <f t="shared" si="11"/>
        <v>53</v>
      </c>
      <c r="Q65" s="359">
        <f>(('Methane Leakage'!$C$6/'Methane Leakage'!$C$5)*102*'Emissions Factors'!$C$38*'Calcs - Power'!$G64+'Emissions Factors'!$C$37*('Calcs - Power'!$H64+'Calcs - Power'!$I64+'Calcs - Power'!$J64+'Calcs - Power'!$K64))</f>
        <v>17980.388222964004</v>
      </c>
      <c r="R65" s="366">
        <f>(('Methane Leakage'!$C$6/'Methane Leakage'!$C$5)*102*'Emissions Factors'!$C$38*'Calcs - Power'!$B64+'Emissions Factors'!$C$37*('Calcs - Power'!$C64+'Calcs - Power'!$D64+'Calcs - Power'!$E64+'Calcs - Power'!$F64))</f>
        <v>578208.30020083662</v>
      </c>
      <c r="S65" s="359">
        <f>(('Methane Leakage'!$C$6/'Methane Leakage'!$C$5)*102*'Emissions Factors'!$D$38*'Calcs - Power'!$G64+'Emissions Factors'!$D$37*('Calcs - Power'!$H64+'Calcs - Power'!$I64+'Calcs - Power'!$J64+'Calcs - Power'!$K64))</f>
        <v>17980.388222964004</v>
      </c>
      <c r="T65" s="366">
        <f>(('Methane Leakage'!$C$6/'Methane Leakage'!$C$5)*102*'Emissions Factors'!$D$38*'Calcs - Power'!$B64+'Emissions Factors'!$D$37*('Calcs - Power'!$C64+'Calcs - Power'!$D64+'Calcs - Power'!$E64+'Calcs - Power'!$F64))</f>
        <v>578208.30020083662</v>
      </c>
      <c r="U65" s="361">
        <f>(102*'Emissions Factors'!$C$36*'Calcs - Power'!$G64+'Emissions Factors'!$C$35*('Calcs - Power'!$H64+'Calcs - Power'!$I64+'Calcs - Power'!$J64+'Calcs - Power'!$K64))</f>
        <v>29687.331344419847</v>
      </c>
      <c r="V65" s="366">
        <f>(102*'Emissions Factors'!$C$36*'Calcs - Power'!$B64+'Emissions Factors'!$C$35*('Calcs - Power'!$C64+'Calcs - Power'!$D64+'Calcs - Power'!$E64+'Calcs - Power'!$F64))</f>
        <v>886537.27219139924</v>
      </c>
      <c r="W65" s="359">
        <f>(102*'Emissions Factors'!$D$36*'Calcs - Power'!$G64+'Emissions Factors'!$D$35*('Calcs - Power'!$H64+'Calcs - Power'!$I64+'Calcs - Power'!$J64+'Calcs - Power'!$K64))</f>
        <v>29687.331344419847</v>
      </c>
      <c r="X65" s="366">
        <f>(102*'Emissions Factors'!$D$36*'Calcs - Power'!$B64+'Emissions Factors'!$D$35*('Calcs - Power'!$C64+'Calcs - Power'!$D64+'Calcs - Power'!$E64+'Calcs - Power'!$F64))</f>
        <v>886537.27219139924</v>
      </c>
      <c r="Y65" s="359">
        <f>(102*'Emissions Factors'!$C$38*'Calcs - Power'!$G64+'Emissions Factors'!$C$37*('Calcs - Power'!$H64+'Calcs - Power'!$I64+'Calcs - Power'!$J64+'Calcs - Power'!$K64))</f>
        <v>17980.388222964004</v>
      </c>
      <c r="Z65" s="366">
        <f>(102*'Emissions Factors'!$C$38*'Calcs - Power'!$B64+'Emissions Factors'!$C$37*('Calcs - Power'!$C64+'Calcs - Power'!$D64+'Calcs - Power'!$E64+'Calcs - Power'!$F64))</f>
        <v>578208.30020083662</v>
      </c>
      <c r="AA65" s="359">
        <f>(102*'Emissions Factors'!$C$36*'Calcs - Power'!$G64+'Emissions Factors'!$C$35*('Calcs - Power'!$H64+'Calcs - Power'!$I64+'Calcs - Power'!$J64+'Calcs - Power'!$K64))</f>
        <v>29687.331344419847</v>
      </c>
      <c r="AB65" s="366">
        <f>(102*'Emissions Factors'!$C$36*'Calcs - Power'!$B64+'Emissions Factors'!$C$35*('Calcs - Power'!$C64+'Calcs - Power'!$D64+'Calcs - Power'!$E64+'Calcs - Power'!$F64))</f>
        <v>886537.27219139924</v>
      </c>
      <c r="AI65" s="358">
        <f t="shared" si="12"/>
        <v>53</v>
      </c>
      <c r="AJ65" s="359">
        <f>(('Methane Leakage'!$G$6/'Methane Leakage'!$G$5)*102*'Emissions Factors'!$D$10*'Calcs - Power'!$G64+'Emissions Factors'!$D$11*('Calcs - Power'!$H64+'Calcs - Power'!$I64+'Calcs - Power'!$J64+'Calcs - Power'!$K64))</f>
        <v>2555.6413475760237</v>
      </c>
      <c r="AK65" s="366">
        <f>(('Methane Leakage'!$G$6/'Methane Leakage'!$G$5)*102*'Emissions Factors'!$D$10*'Calcs - Power'!$B64+'Emissions Factors'!$D$11*('Calcs - Power'!$C64+'Calcs - Power'!$D64+'Calcs - Power'!$E64+'Calcs - Power'!$F64))</f>
        <v>84057.97190686797</v>
      </c>
      <c r="AL65" s="359">
        <f>(102*'Emissions Factors'!$E$10*'Calcs - Power'!$G64+'Emissions Factors'!$E$11*('Calcs - Power'!H64+'Calcs - Power'!I64+'Calcs - Power'!J64+'Calcs - Power'!K64))</f>
        <v>2665.7166102244869</v>
      </c>
      <c r="AM65" s="366">
        <f>(102*'Emissions Factors'!$E$10*'Calcs - Power'!$B64+'Emissions Factors'!$E$11*('Calcs - Power'!C64+'Calcs - Power'!D64+'Calcs - Power'!E64+'Calcs - Power'!F64))</f>
        <v>80129.232592563465</v>
      </c>
      <c r="AN65" s="359">
        <f>(102*'Emissions Factors'!$D$10*'Calcs - Power'!$G64+'Emissions Factors'!$D$11*('Calcs - Power'!$H64+'Calcs - Power'!$I64+'Calcs - Power'!$J64+'Calcs - Power'!$K64))</f>
        <v>2555.6413475760237</v>
      </c>
      <c r="AO65" s="366">
        <f>(102*'Emissions Factors'!$D$10*'Calcs - Power'!$B64+'Emissions Factors'!$D$11*('Calcs - Power'!$C64+'Calcs - Power'!$D64+'Calcs - Power'!$E64+'Calcs - Power'!$F64))</f>
        <v>84057.97190686797</v>
      </c>
      <c r="AP65" s="367">
        <f>(102*'Emissions Factors'!$E$10*'Calcs - Power'!$G64+'Emissions Factors'!$E$11*('Calcs - Power'!H64+'Calcs - Power'!I64+'Calcs - Power'!J64+'Calcs - Power'!K64))</f>
        <v>2665.7166102244869</v>
      </c>
      <c r="AQ65" s="366">
        <f>(102*'Emissions Factors'!$E$10*'Calcs - Power'!$B64+'Emissions Factors'!$E$11*('Calcs - Power'!C64+'Calcs - Power'!D64+'Calcs - Power'!E64+'Calcs - Power'!F64))</f>
        <v>80129.232592563465</v>
      </c>
      <c r="AS65" s="357"/>
      <c r="AT65" s="357"/>
      <c r="AU65" s="357"/>
      <c r="AV65" s="357"/>
      <c r="AX65" s="358">
        <f t="shared" si="13"/>
        <v>53</v>
      </c>
      <c r="AY65" s="359">
        <f>(('Methane Leakage'!$G$6/'Methane Leakage'!$G$5)*102*'Emissions Factors'!$F$10*'Calcs - Power'!$G64+'Emissions Factors'!$F$11*('Calcs - Power'!$H64+'Calcs - Power'!$I64+'Calcs - Power'!$J64+'Calcs - Power'!$K64))</f>
        <v>3381486.5361261386</v>
      </c>
      <c r="AZ65" s="366">
        <f>(('Methane Leakage'!$G$6/'Methane Leakage'!$G$5)*102*'Emissions Factors'!$F$10*'Calcs - Power'!$B64+'Emissions Factors'!$F$11*('Calcs - Power'!$C64+'Calcs - Power'!$D64+'Calcs - Power'!$E64+'Calcs - Power'!$F64))</f>
        <v>108577626.25759025</v>
      </c>
      <c r="BA65" s="359">
        <f>(102*'Emissions Factors'!$G$10*'Calcs - Power'!$G64+'Emissions Factors'!$G$11*('Calcs - Power'!H64+'Calcs - Power'!I64+'Calcs - Power'!J64+'Calcs - Power'!K64))</f>
        <v>3065264.1814541789</v>
      </c>
      <c r="BB65" s="366">
        <f>(102*'Emissions Factors'!$G$10*'Calcs - Power'!$B64+'Emissions Factors'!$G$11*('Calcs - Power'!C64+'Calcs - Power'!D64+'Calcs - Power'!E64+'Calcs - Power'!F64))</f>
        <v>91823923.923776433</v>
      </c>
      <c r="BC65" s="359">
        <f>(102*'Emissions Factors'!$F$10*'Calcs - Power'!$G64+'Emissions Factors'!$F$11*('Calcs - Power'!$H64+'Calcs - Power'!$I64+'Calcs - Power'!$J64+'Calcs - Power'!$K64))</f>
        <v>3381486.5361261386</v>
      </c>
      <c r="BD65" s="366">
        <f>(102*'Emissions Factors'!$F$10*'Calcs - Power'!$B64+'Emissions Factors'!$F$11*('Calcs - Power'!$C64+'Calcs - Power'!$D64+'Calcs - Power'!$E64+'Calcs - Power'!$F64))</f>
        <v>108577626.25759025</v>
      </c>
      <c r="BE65" s="359">
        <f>(102*'Emissions Factors'!$G$10*'Calcs - Power'!$G64+'Emissions Factors'!$G$11*('Calcs - Power'!H64+'Calcs - Power'!I64+'Calcs - Power'!J64+'Calcs - Power'!K64))</f>
        <v>3065264.1814541789</v>
      </c>
      <c r="BF65" s="366">
        <f>(102*'Emissions Factors'!$G$10*'Calcs - Power'!$B64+'Emissions Factors'!$G$11*('Calcs - Power'!C64+'Calcs - Power'!D64+'Calcs - Power'!E64+'Calcs - Power'!F64))</f>
        <v>91823923.923776433</v>
      </c>
    </row>
    <row r="66" spans="1:58" x14ac:dyDescent="0.3">
      <c r="A66" s="351">
        <f t="shared" si="10"/>
        <v>54</v>
      </c>
      <c r="B66" s="352">
        <f t="shared" si="0"/>
        <v>1</v>
      </c>
      <c r="C66" s="363">
        <f t="shared" si="1"/>
        <v>0.99999999999999978</v>
      </c>
      <c r="D66" s="352">
        <f t="shared" si="2"/>
        <v>1</v>
      </c>
      <c r="E66" s="364">
        <f t="shared" si="3"/>
        <v>1</v>
      </c>
      <c r="F66" s="364">
        <f t="shared" si="4"/>
        <v>1</v>
      </c>
      <c r="G66" s="365">
        <f t="shared" si="5"/>
        <v>1</v>
      </c>
      <c r="P66" s="358">
        <f t="shared" si="11"/>
        <v>54</v>
      </c>
      <c r="Q66" s="359">
        <f>(('Methane Leakage'!$C$6/'Methane Leakage'!$C$5)*102*'Emissions Factors'!$C$38*'Calcs - Power'!$G65+'Emissions Factors'!$C$37*('Calcs - Power'!$H65+'Calcs - Power'!$I65+'Calcs - Power'!$J65+'Calcs - Power'!$K65))</f>
        <v>18187.022576067979</v>
      </c>
      <c r="R66" s="366">
        <f>(('Methane Leakage'!$C$6/'Methane Leakage'!$C$5)*102*'Emissions Factors'!$C$38*'Calcs - Power'!$B65+'Emissions Factors'!$C$37*('Calcs - Power'!$C65+'Calcs - Power'!$D65+'Calcs - Power'!$E65+'Calcs - Power'!$F65))</f>
        <v>596292.11635494325</v>
      </c>
      <c r="S66" s="359">
        <f>(('Methane Leakage'!$C$6/'Methane Leakage'!$C$5)*102*'Emissions Factors'!$D$38*'Calcs - Power'!$G65+'Emissions Factors'!$D$37*('Calcs - Power'!$H65+'Calcs - Power'!$I65+'Calcs - Power'!$J65+'Calcs - Power'!$K65))</f>
        <v>18187.022576067979</v>
      </c>
      <c r="T66" s="366">
        <f>(('Methane Leakage'!$C$6/'Methane Leakage'!$C$5)*102*'Emissions Factors'!$D$38*'Calcs - Power'!$B65+'Emissions Factors'!$D$37*('Calcs - Power'!$C65+'Calcs - Power'!$D65+'Calcs - Power'!$E65+'Calcs - Power'!$F65))</f>
        <v>596292.11635494325</v>
      </c>
      <c r="U66" s="361">
        <f>(102*'Emissions Factors'!$C$36*'Calcs - Power'!$G65+'Emissions Factors'!$C$35*('Calcs - Power'!$H65+'Calcs - Power'!$I65+'Calcs - Power'!$J65+'Calcs - Power'!$K65))</f>
        <v>30104.003188770399</v>
      </c>
      <c r="V66" s="366">
        <f>(102*'Emissions Factors'!$C$36*'Calcs - Power'!$B65+'Emissions Factors'!$C$35*('Calcs - Power'!$C65+'Calcs - Power'!$D65+'Calcs - Power'!$E65+'Calcs - Power'!$F65))</f>
        <v>916433.11783180654</v>
      </c>
      <c r="W66" s="359">
        <f>(102*'Emissions Factors'!$D$36*'Calcs - Power'!$G65+'Emissions Factors'!$D$35*('Calcs - Power'!$H65+'Calcs - Power'!$I65+'Calcs - Power'!$J65+'Calcs - Power'!$K65))</f>
        <v>30104.003188770399</v>
      </c>
      <c r="X66" s="366">
        <f>(102*'Emissions Factors'!$D$36*'Calcs - Power'!$B65+'Emissions Factors'!$D$35*('Calcs - Power'!$C65+'Calcs - Power'!$D65+'Calcs - Power'!$E65+'Calcs - Power'!$F65))</f>
        <v>916433.11783180654</v>
      </c>
      <c r="Y66" s="359">
        <f>(102*'Emissions Factors'!$C$38*'Calcs - Power'!$G65+'Emissions Factors'!$C$37*('Calcs - Power'!$H65+'Calcs - Power'!$I65+'Calcs - Power'!$J65+'Calcs - Power'!$K65))</f>
        <v>18187.022576067979</v>
      </c>
      <c r="Z66" s="366">
        <f>(102*'Emissions Factors'!$C$38*'Calcs - Power'!$B65+'Emissions Factors'!$C$37*('Calcs - Power'!$C65+'Calcs - Power'!$D65+'Calcs - Power'!$E65+'Calcs - Power'!$F65))</f>
        <v>596292.11635494325</v>
      </c>
      <c r="AA66" s="359">
        <f>(102*'Emissions Factors'!$C$36*'Calcs - Power'!$G65+'Emissions Factors'!$C$35*('Calcs - Power'!$H65+'Calcs - Power'!$I65+'Calcs - Power'!$J65+'Calcs - Power'!$K65))</f>
        <v>30104.003188770399</v>
      </c>
      <c r="AB66" s="366">
        <f>(102*'Emissions Factors'!$C$36*'Calcs - Power'!$B65+'Emissions Factors'!$C$35*('Calcs - Power'!$C65+'Calcs - Power'!$D65+'Calcs - Power'!$E65+'Calcs - Power'!$F65))</f>
        <v>916433.11783180654</v>
      </c>
      <c r="AI66" s="358">
        <f t="shared" si="12"/>
        <v>54</v>
      </c>
      <c r="AJ66" s="359">
        <f>(('Methane Leakage'!$G$6/'Methane Leakage'!$G$5)*102*'Emissions Factors'!$D$10*'Calcs - Power'!$G65+'Emissions Factors'!$D$11*('Calcs - Power'!$H65+'Calcs - Power'!$I65+'Calcs - Power'!$J65+'Calcs - Power'!$K65))</f>
        <v>2582.9345003094759</v>
      </c>
      <c r="AK66" s="366">
        <f>(('Methane Leakage'!$G$6/'Methane Leakage'!$G$5)*102*'Emissions Factors'!$D$10*'Calcs - Power'!$B65+'Emissions Factors'!$D$11*('Calcs - Power'!$C65+'Calcs - Power'!$D65+'Calcs - Power'!$E65+'Calcs - Power'!$F65))</f>
        <v>86627.275696487719</v>
      </c>
      <c r="AL66" s="359">
        <f>(102*'Emissions Factors'!$E$10*'Calcs - Power'!$G65+'Emissions Factors'!$E$11*('Calcs - Power'!H65+'Calcs - Power'!I65+'Calcs - Power'!J65+'Calcs - Power'!K65))</f>
        <v>2702.5498957570098</v>
      </c>
      <c r="AM66" s="366">
        <f>(102*'Emissions Factors'!$E$10*'Calcs - Power'!$B65+'Emissions Factors'!$E$11*('Calcs - Power'!C65+'Calcs - Power'!D65+'Calcs - Power'!E65+'Calcs - Power'!F65))</f>
        <v>82813.381896856212</v>
      </c>
      <c r="AN66" s="359">
        <f>(102*'Emissions Factors'!$D$10*'Calcs - Power'!$G65+'Emissions Factors'!$D$11*('Calcs - Power'!$H65+'Calcs - Power'!$I65+'Calcs - Power'!$J65+'Calcs - Power'!$K65))</f>
        <v>2582.9345003094759</v>
      </c>
      <c r="AO66" s="366">
        <f>(102*'Emissions Factors'!$D$10*'Calcs - Power'!$B65+'Emissions Factors'!$D$11*('Calcs - Power'!$C65+'Calcs - Power'!$D65+'Calcs - Power'!$E65+'Calcs - Power'!$F65))</f>
        <v>86627.275696487719</v>
      </c>
      <c r="AP66" s="367">
        <f>(102*'Emissions Factors'!$E$10*'Calcs - Power'!$G65+'Emissions Factors'!$E$11*('Calcs - Power'!H65+'Calcs - Power'!I65+'Calcs - Power'!J65+'Calcs - Power'!K65))</f>
        <v>2702.5498957570098</v>
      </c>
      <c r="AQ66" s="366">
        <f>(102*'Emissions Factors'!$E$10*'Calcs - Power'!$B65+'Emissions Factors'!$E$11*('Calcs - Power'!C65+'Calcs - Power'!D65+'Calcs - Power'!E65+'Calcs - Power'!F65))</f>
        <v>82813.381896856212</v>
      </c>
      <c r="AS66" s="357"/>
      <c r="AT66" s="357"/>
      <c r="AU66" s="357"/>
      <c r="AV66" s="357"/>
      <c r="AX66" s="358">
        <f t="shared" si="13"/>
        <v>54</v>
      </c>
      <c r="AY66" s="359">
        <f>(('Methane Leakage'!$G$6/'Methane Leakage'!$G$5)*102*'Emissions Factors'!$F$10*'Calcs - Power'!$G65+'Emissions Factors'!$F$11*('Calcs - Power'!$H65+'Calcs - Power'!$I65+'Calcs - Power'!$J65+'Calcs - Power'!$K65))</f>
        <v>3420528.1879197494</v>
      </c>
      <c r="AZ66" s="366">
        <f>(('Methane Leakage'!$G$6/'Methane Leakage'!$G$5)*102*'Emissions Factors'!$F$10*'Calcs - Power'!$B65+'Emissions Factors'!$F$11*('Calcs - Power'!$C65+'Calcs - Power'!$D65+'Calcs - Power'!$E65+'Calcs - Power'!$F65))</f>
        <v>111978654.43794015</v>
      </c>
      <c r="BA66" s="359">
        <f>(102*'Emissions Factors'!$G$10*'Calcs - Power'!$G65+'Emissions Factors'!$G$11*('Calcs - Power'!H65+'Calcs - Power'!I65+'Calcs - Power'!J65+'Calcs - Power'!K65))</f>
        <v>3107967.6166417729</v>
      </c>
      <c r="BB66" s="366">
        <f>(102*'Emissions Factors'!$G$10*'Calcs - Power'!$B65+'Emissions Factors'!$G$11*('Calcs - Power'!C65+'Calcs - Power'!D65+'Calcs - Power'!E65+'Calcs - Power'!F65))</f>
        <v>94910558.259162232</v>
      </c>
      <c r="BC66" s="359">
        <f>(102*'Emissions Factors'!$F$10*'Calcs - Power'!$G65+'Emissions Factors'!$F$11*('Calcs - Power'!$H65+'Calcs - Power'!$I65+'Calcs - Power'!$J65+'Calcs - Power'!$K65))</f>
        <v>3420528.1879197494</v>
      </c>
      <c r="BD66" s="366">
        <f>(102*'Emissions Factors'!$F$10*'Calcs - Power'!$B65+'Emissions Factors'!$F$11*('Calcs - Power'!$C65+'Calcs - Power'!$D65+'Calcs - Power'!$E65+'Calcs - Power'!$F65))</f>
        <v>111978654.43794015</v>
      </c>
      <c r="BE66" s="359">
        <f>(102*'Emissions Factors'!$G$10*'Calcs - Power'!$G65+'Emissions Factors'!$G$11*('Calcs - Power'!H65+'Calcs - Power'!I65+'Calcs - Power'!J65+'Calcs - Power'!K65))</f>
        <v>3107967.6166417729</v>
      </c>
      <c r="BF66" s="366">
        <f>(102*'Emissions Factors'!$G$10*'Calcs - Power'!$B65+'Emissions Factors'!$G$11*('Calcs - Power'!C65+'Calcs - Power'!D65+'Calcs - Power'!E65+'Calcs - Power'!F65))</f>
        <v>94910558.259162232</v>
      </c>
    </row>
    <row r="67" spans="1:58" x14ac:dyDescent="0.3">
      <c r="A67" s="351">
        <f t="shared" si="10"/>
        <v>55</v>
      </c>
      <c r="B67" s="352">
        <f t="shared" si="0"/>
        <v>0.99999999999999978</v>
      </c>
      <c r="C67" s="363">
        <f t="shared" si="1"/>
        <v>1</v>
      </c>
      <c r="D67" s="352">
        <f t="shared" si="2"/>
        <v>1</v>
      </c>
      <c r="E67" s="364">
        <f t="shared" si="3"/>
        <v>1</v>
      </c>
      <c r="F67" s="364">
        <f t="shared" si="4"/>
        <v>1</v>
      </c>
      <c r="G67" s="365">
        <f t="shared" si="5"/>
        <v>1</v>
      </c>
      <c r="P67" s="358">
        <f t="shared" si="11"/>
        <v>55</v>
      </c>
      <c r="Q67" s="359">
        <f>(('Methane Leakage'!$C$6/'Methane Leakage'!$C$5)*102*'Emissions Factors'!$C$38*'Calcs - Power'!$G66+'Emissions Factors'!$C$37*('Calcs - Power'!$H66+'Calcs - Power'!$I66+'Calcs - Power'!$J66+'Calcs - Power'!$K66))</f>
        <v>18392.355217194363</v>
      </c>
      <c r="R67" s="366">
        <f>(('Methane Leakage'!$C$6/'Methane Leakage'!$C$5)*102*'Emissions Factors'!$C$38*'Calcs - Power'!$B66+'Emissions Factors'!$C$37*('Calcs - Power'!$C66+'Calcs - Power'!$D66+'Calcs - Power'!$E66+'Calcs - Power'!$F66))</f>
        <v>614581.91148829984</v>
      </c>
      <c r="S67" s="359">
        <f>(('Methane Leakage'!$C$6/'Methane Leakage'!$C$5)*102*'Emissions Factors'!$D$38*'Calcs - Power'!$G66+'Emissions Factors'!$D$37*('Calcs - Power'!$H66+'Calcs - Power'!$I66+'Calcs - Power'!$J66+'Calcs - Power'!$K66))</f>
        <v>18392.355217194363</v>
      </c>
      <c r="T67" s="366">
        <f>(('Methane Leakage'!$C$6/'Methane Leakage'!$C$5)*102*'Emissions Factors'!$D$38*'Calcs - Power'!$B66+'Emissions Factors'!$D$37*('Calcs - Power'!$C66+'Calcs - Power'!$D66+'Calcs - Power'!$E66+'Calcs - Power'!$F66))</f>
        <v>614581.91148829984</v>
      </c>
      <c r="U67" s="361">
        <f>(102*'Emissions Factors'!$C$36*'Calcs - Power'!$G66+'Emissions Factors'!$C$35*('Calcs - Power'!$H66+'Calcs - Power'!$I66+'Calcs - Power'!$J66+'Calcs - Power'!$K66))</f>
        <v>30518.566979993207</v>
      </c>
      <c r="V67" s="366">
        <f>(102*'Emissions Factors'!$C$36*'Calcs - Power'!$B66+'Emissions Factors'!$C$35*('Calcs - Power'!$C66+'Calcs - Power'!$D66+'Calcs - Power'!$E66+'Calcs - Power'!$F66))</f>
        <v>946744.57592190942</v>
      </c>
      <c r="W67" s="359">
        <f>(102*'Emissions Factors'!$D$36*'Calcs - Power'!$G66+'Emissions Factors'!$D$35*('Calcs - Power'!$H66+'Calcs - Power'!$I66+'Calcs - Power'!$J66+'Calcs - Power'!$K66))</f>
        <v>30518.566979993207</v>
      </c>
      <c r="X67" s="366">
        <f>(102*'Emissions Factors'!$D$36*'Calcs - Power'!$B66+'Emissions Factors'!$D$35*('Calcs - Power'!$C66+'Calcs - Power'!$D66+'Calcs - Power'!$E66+'Calcs - Power'!$F66))</f>
        <v>946744.57592190942</v>
      </c>
      <c r="Y67" s="359">
        <f>(102*'Emissions Factors'!$C$38*'Calcs - Power'!$G66+'Emissions Factors'!$C$37*('Calcs - Power'!$H66+'Calcs - Power'!$I66+'Calcs - Power'!$J66+'Calcs - Power'!$K66))</f>
        <v>18392.355217194363</v>
      </c>
      <c r="Z67" s="366">
        <f>(102*'Emissions Factors'!$C$38*'Calcs - Power'!$B66+'Emissions Factors'!$C$37*('Calcs - Power'!$C66+'Calcs - Power'!$D66+'Calcs - Power'!$E66+'Calcs - Power'!$F66))</f>
        <v>614581.91148829984</v>
      </c>
      <c r="AA67" s="359">
        <f>(102*'Emissions Factors'!$C$36*'Calcs - Power'!$G66+'Emissions Factors'!$C$35*('Calcs - Power'!$H66+'Calcs - Power'!$I66+'Calcs - Power'!$J66+'Calcs - Power'!$K66))</f>
        <v>30518.566979993207</v>
      </c>
      <c r="AB67" s="366">
        <f>(102*'Emissions Factors'!$C$36*'Calcs - Power'!$B66+'Emissions Factors'!$C$35*('Calcs - Power'!$C66+'Calcs - Power'!$D66+'Calcs - Power'!$E66+'Calcs - Power'!$F66))</f>
        <v>946744.57592190942</v>
      </c>
      <c r="AI67" s="358">
        <f t="shared" si="12"/>
        <v>55</v>
      </c>
      <c r="AJ67" s="359">
        <f>(('Methane Leakage'!$G$6/'Methane Leakage'!$G$5)*102*'Emissions Factors'!$D$10*'Calcs - Power'!$G66+'Emissions Factors'!$D$11*('Calcs - Power'!$H66+'Calcs - Power'!$I66+'Calcs - Power'!$J66+'Calcs - Power'!$K66))</f>
        <v>2610.0415010492911</v>
      </c>
      <c r="AK67" s="366">
        <f>(('Methane Leakage'!$G$6/'Methane Leakage'!$G$5)*102*'Emissions Factors'!$D$10*'Calcs - Power'!$B66+'Emissions Factors'!$D$11*('Calcs - Power'!$C66+'Calcs - Power'!$D66+'Calcs - Power'!$E66+'Calcs - Power'!$F66))</f>
        <v>89223.778863169631</v>
      </c>
      <c r="AL67" s="359">
        <f>(102*'Emissions Factors'!$E$10*'Calcs - Power'!$G66+'Emissions Factors'!$E$11*('Calcs - Power'!H66+'Calcs - Power'!I66+'Calcs - Power'!J66+'Calcs - Power'!K66))</f>
        <v>2739.1935757189831</v>
      </c>
      <c r="AM67" s="366">
        <f>(102*'Emissions Factors'!$E$10*'Calcs - Power'!$B66+'Emissions Factors'!$E$11*('Calcs - Power'!C66+'Calcs - Power'!D66+'Calcs - Power'!E66+'Calcs - Power'!F66))</f>
        <v>85534.269185786165</v>
      </c>
      <c r="AN67" s="359">
        <f>(102*'Emissions Factors'!$D$10*'Calcs - Power'!$G66+'Emissions Factors'!$D$11*('Calcs - Power'!$H66+'Calcs - Power'!$I66+'Calcs - Power'!$J66+'Calcs - Power'!$K66))</f>
        <v>2610.0415010492911</v>
      </c>
      <c r="AO67" s="366">
        <f>(102*'Emissions Factors'!$D$10*'Calcs - Power'!$B66+'Emissions Factors'!$D$11*('Calcs - Power'!$C66+'Calcs - Power'!$D66+'Calcs - Power'!$E66+'Calcs - Power'!$F66))</f>
        <v>89223.778863169631</v>
      </c>
      <c r="AP67" s="367">
        <f>(102*'Emissions Factors'!$E$10*'Calcs - Power'!$G66+'Emissions Factors'!$E$11*('Calcs - Power'!H66+'Calcs - Power'!I66+'Calcs - Power'!J66+'Calcs - Power'!K66))</f>
        <v>2739.1935757189831</v>
      </c>
      <c r="AQ67" s="366">
        <f>(102*'Emissions Factors'!$E$10*'Calcs - Power'!$B66+'Emissions Factors'!$E$11*('Calcs - Power'!C66+'Calcs - Power'!D66+'Calcs - Power'!E66+'Calcs - Power'!F66))</f>
        <v>85534.269185786165</v>
      </c>
      <c r="AS67" s="357"/>
      <c r="AT67" s="357"/>
      <c r="AU67" s="357"/>
      <c r="AV67" s="357"/>
      <c r="AX67" s="358">
        <f t="shared" si="13"/>
        <v>55</v>
      </c>
      <c r="AY67" s="359">
        <f>(('Methane Leakage'!$G$6/'Methane Leakage'!$G$5)*102*'Emissions Factors'!$F$10*'Calcs - Power'!$G66+'Emissions Factors'!$F$11*('Calcs - Power'!$H66+'Calcs - Power'!$I66+'Calcs - Power'!$J66+'Calcs - Power'!$K66))</f>
        <v>3459325.1316156485</v>
      </c>
      <c r="AZ67" s="366">
        <f>(('Methane Leakage'!$G$6/'Methane Leakage'!$G$5)*102*'Emissions Factors'!$F$10*'Calcs - Power'!$B66+'Emissions Factors'!$F$11*('Calcs - Power'!$C66+'Calcs - Power'!$D66+'Calcs - Power'!$E66+'Calcs - Power'!$F66))</f>
        <v>115418601.07139246</v>
      </c>
      <c r="BA67" s="359">
        <f>(102*'Emissions Factors'!$G$10*'Calcs - Power'!$G66+'Emissions Factors'!$G$11*('Calcs - Power'!H66+'Calcs - Power'!I66+'Calcs - Power'!J66+'Calcs - Power'!K66))</f>
        <v>3150453.2181441425</v>
      </c>
      <c r="BB67" s="366">
        <f>(102*'Emissions Factors'!$G$10*'Calcs - Power'!$B66+'Emissions Factors'!$G$11*('Calcs - Power'!C66+'Calcs - Power'!D66+'Calcs - Power'!E66+'Calcs - Power'!F66))</f>
        <v>98039786.549803883</v>
      </c>
      <c r="BC67" s="359">
        <f>(102*'Emissions Factors'!$F$10*'Calcs - Power'!$G66+'Emissions Factors'!$F$11*('Calcs - Power'!$H66+'Calcs - Power'!$I66+'Calcs - Power'!$J66+'Calcs - Power'!$K66))</f>
        <v>3459325.1316156485</v>
      </c>
      <c r="BD67" s="366">
        <f>(102*'Emissions Factors'!$F$10*'Calcs - Power'!$B66+'Emissions Factors'!$F$11*('Calcs - Power'!$C66+'Calcs - Power'!$D66+'Calcs - Power'!$E66+'Calcs - Power'!$F66))</f>
        <v>115418601.07139246</v>
      </c>
      <c r="BE67" s="359">
        <f>(102*'Emissions Factors'!$G$10*'Calcs - Power'!$G66+'Emissions Factors'!$G$11*('Calcs - Power'!H66+'Calcs - Power'!I66+'Calcs - Power'!J66+'Calcs - Power'!K66))</f>
        <v>3150453.2181441425</v>
      </c>
      <c r="BF67" s="366">
        <f>(102*'Emissions Factors'!$G$10*'Calcs - Power'!$B66+'Emissions Factors'!$G$11*('Calcs - Power'!C66+'Calcs - Power'!D66+'Calcs - Power'!E66+'Calcs - Power'!F66))</f>
        <v>98039786.549803883</v>
      </c>
    </row>
    <row r="68" spans="1:58" x14ac:dyDescent="0.3">
      <c r="A68" s="351">
        <f t="shared" si="10"/>
        <v>56</v>
      </c>
      <c r="B68" s="352">
        <f t="shared" si="0"/>
        <v>0.99999999999999978</v>
      </c>
      <c r="C68" s="363">
        <f t="shared" si="1"/>
        <v>1</v>
      </c>
      <c r="D68" s="352">
        <f t="shared" si="2"/>
        <v>1</v>
      </c>
      <c r="E68" s="364">
        <f t="shared" si="3"/>
        <v>1</v>
      </c>
      <c r="F68" s="364">
        <f t="shared" si="4"/>
        <v>1</v>
      </c>
      <c r="G68" s="365">
        <f t="shared" si="5"/>
        <v>1</v>
      </c>
      <c r="P68" s="358">
        <f t="shared" si="11"/>
        <v>56</v>
      </c>
      <c r="Q68" s="359">
        <f>(('Methane Leakage'!$C$6/'Methane Leakage'!$C$5)*102*'Emissions Factors'!$C$38*'Calcs - Power'!$G67+'Emissions Factors'!$C$37*('Calcs - Power'!$H67+'Calcs - Power'!$I67+'Calcs - Power'!$J67+'Calcs - Power'!$K67))</f>
        <v>18596.438636646169</v>
      </c>
      <c r="R68" s="366">
        <f>(('Methane Leakage'!$C$6/'Methane Leakage'!$C$5)*102*'Emissions Factors'!$C$38*'Calcs - Power'!$B67+'Emissions Factors'!$C$37*('Calcs - Power'!$C67+'Calcs - Power'!$D67+'Calcs - Power'!$E67+'Calcs - Power'!$F67))</f>
        <v>633076.41041871463</v>
      </c>
      <c r="S68" s="359">
        <f>(('Methane Leakage'!$C$6/'Methane Leakage'!$C$5)*102*'Emissions Factors'!$D$38*'Calcs - Power'!$G67+'Emissions Factors'!$D$37*('Calcs - Power'!$H67+'Calcs - Power'!$I67+'Calcs - Power'!$J67+'Calcs - Power'!$K67))</f>
        <v>18596.438636646169</v>
      </c>
      <c r="T68" s="366">
        <f>(('Methane Leakage'!$C$6/'Methane Leakage'!$C$5)*102*'Emissions Factors'!$D$38*'Calcs - Power'!$B67+'Emissions Factors'!$D$37*('Calcs - Power'!$C67+'Calcs - Power'!$D67+'Calcs - Power'!$E67+'Calcs - Power'!$F67))</f>
        <v>633076.41041871463</v>
      </c>
      <c r="U68" s="361">
        <f>(102*'Emissions Factors'!$C$36*'Calcs - Power'!$G67+'Emissions Factors'!$C$35*('Calcs - Power'!$H67+'Calcs - Power'!$I67+'Calcs - Power'!$J67+'Calcs - Power'!$K67))</f>
        <v>30931.085489630837</v>
      </c>
      <c r="V68" s="366">
        <f>(102*'Emissions Factors'!$C$36*'Calcs - Power'!$B67+'Emissions Factors'!$C$35*('Calcs - Power'!$C67+'Calcs - Power'!$D67+'Calcs - Power'!$E67+'Calcs - Power'!$F67))</f>
        <v>977469.57006650872</v>
      </c>
      <c r="W68" s="359">
        <f>(102*'Emissions Factors'!$D$36*'Calcs - Power'!$G67+'Emissions Factors'!$D$35*('Calcs - Power'!$H67+'Calcs - Power'!$I67+'Calcs - Power'!$J67+'Calcs - Power'!$K67))</f>
        <v>30931.085489630837</v>
      </c>
      <c r="X68" s="366">
        <f>(102*'Emissions Factors'!$D$36*'Calcs - Power'!$B67+'Emissions Factors'!$D$35*('Calcs - Power'!$C67+'Calcs - Power'!$D67+'Calcs - Power'!$E67+'Calcs - Power'!$F67))</f>
        <v>977469.57006650872</v>
      </c>
      <c r="Y68" s="359">
        <f>(102*'Emissions Factors'!$C$38*'Calcs - Power'!$G67+'Emissions Factors'!$C$37*('Calcs - Power'!$H67+'Calcs - Power'!$I67+'Calcs - Power'!$J67+'Calcs - Power'!$K67))</f>
        <v>18596.438636646169</v>
      </c>
      <c r="Z68" s="366">
        <f>(102*'Emissions Factors'!$C$38*'Calcs - Power'!$B67+'Emissions Factors'!$C$37*('Calcs - Power'!$C67+'Calcs - Power'!$D67+'Calcs - Power'!$E67+'Calcs - Power'!$F67))</f>
        <v>633076.41041871463</v>
      </c>
      <c r="AA68" s="359">
        <f>(102*'Emissions Factors'!$C$36*'Calcs - Power'!$G67+'Emissions Factors'!$C$35*('Calcs - Power'!$H67+'Calcs - Power'!$I67+'Calcs - Power'!$J67+'Calcs - Power'!$K67))</f>
        <v>30931.085489630837</v>
      </c>
      <c r="AB68" s="366">
        <f>(102*'Emissions Factors'!$C$36*'Calcs - Power'!$B67+'Emissions Factors'!$C$35*('Calcs - Power'!$C67+'Calcs - Power'!$D67+'Calcs - Power'!$E67+'Calcs - Power'!$F67))</f>
        <v>977469.57006650872</v>
      </c>
      <c r="AI68" s="358">
        <f t="shared" si="12"/>
        <v>56</v>
      </c>
      <c r="AJ68" s="359">
        <f>(('Methane Leakage'!$G$6/'Methane Leakage'!$G$5)*102*'Emissions Factors'!$D$10*'Calcs - Power'!$G67+'Emissions Factors'!$D$11*('Calcs - Power'!$H67+'Calcs - Power'!$I67+'Calcs - Power'!$J67+'Calcs - Power'!$K67))</f>
        <v>2636.9704677986929</v>
      </c>
      <c r="AK68" s="366">
        <f>(('Methane Leakage'!$G$6/'Methane Leakage'!$G$5)*102*'Emissions Factors'!$D$10*'Calcs - Power'!$B67+'Emissions Factors'!$D$11*('Calcs - Power'!$C67+'Calcs - Power'!$D67+'Calcs - Power'!$E67+'Calcs - Power'!$F67))</f>
        <v>91847.299359819182</v>
      </c>
      <c r="AL68" s="359">
        <f>(102*'Emissions Factors'!$E$10*'Calcs - Power'!$G67+'Emissions Factors'!$E$11*('Calcs - Power'!H67+'Calcs - Power'!I67+'Calcs - Power'!J67+'Calcs - Power'!K67))</f>
        <v>2775.6534704297533</v>
      </c>
      <c r="AM68" s="366">
        <f>(102*'Emissions Factors'!$E$10*'Calcs - Power'!$B67+'Emissions Factors'!$E$11*('Calcs - Power'!C67+'Calcs - Power'!D67+'Calcs - Power'!E67+'Calcs - Power'!F67))</f>
        <v>88291.707789902357</v>
      </c>
      <c r="AN68" s="359">
        <f>(102*'Emissions Factors'!$D$10*'Calcs - Power'!$G67+'Emissions Factors'!$D$11*('Calcs - Power'!$H67+'Calcs - Power'!$I67+'Calcs - Power'!$J67+'Calcs - Power'!$K67))</f>
        <v>2636.9704677986929</v>
      </c>
      <c r="AO68" s="366">
        <f>(102*'Emissions Factors'!$D$10*'Calcs - Power'!$B67+'Emissions Factors'!$D$11*('Calcs - Power'!$C67+'Calcs - Power'!$D67+'Calcs - Power'!$E67+'Calcs - Power'!$F67))</f>
        <v>91847.299359819182</v>
      </c>
      <c r="AP68" s="367">
        <f>(102*'Emissions Factors'!$E$10*'Calcs - Power'!$G67+'Emissions Factors'!$E$11*('Calcs - Power'!H67+'Calcs - Power'!I67+'Calcs - Power'!J67+'Calcs - Power'!K67))</f>
        <v>2775.6534704297533</v>
      </c>
      <c r="AQ68" s="366">
        <f>(102*'Emissions Factors'!$E$10*'Calcs - Power'!$B67+'Emissions Factors'!$E$11*('Calcs - Power'!C67+'Calcs - Power'!D67+'Calcs - Power'!E67+'Calcs - Power'!F67))</f>
        <v>88291.707789902357</v>
      </c>
      <c r="AS68" s="357"/>
      <c r="AT68" s="357"/>
      <c r="AU68" s="357"/>
      <c r="AV68" s="357"/>
      <c r="AX68" s="358">
        <f t="shared" si="13"/>
        <v>56</v>
      </c>
      <c r="AY68" s="359">
        <f>(('Methane Leakage'!$G$6/'Methane Leakage'!$G$5)*102*'Emissions Factors'!$F$10*'Calcs - Power'!$G67+'Emissions Factors'!$F$11*('Calcs - Power'!$H67+'Calcs - Power'!$I67+'Calcs - Power'!$J67+'Calcs - Power'!$K67))</f>
        <v>3497887.1815608619</v>
      </c>
      <c r="AZ68" s="366">
        <f>(('Methane Leakage'!$G$6/'Methane Leakage'!$G$5)*102*'Emissions Factors'!$F$10*'Calcs - Power'!$B67+'Emissions Factors'!$F$11*('Calcs - Power'!$C67+'Calcs - Power'!$D67+'Calcs - Power'!$E67+'Calcs - Power'!$F67))</f>
        <v>118897226.41007876</v>
      </c>
      <c r="BA68" s="359">
        <f>(102*'Emissions Factors'!$G$10*'Calcs - Power'!$G67+'Emissions Factors'!$G$11*('Calcs - Power'!H67+'Calcs - Power'!I67+'Calcs - Power'!J67+'Calcs - Power'!K67))</f>
        <v>3192727.5680564689</v>
      </c>
      <c r="BB68" s="366">
        <f>(102*'Emissions Factors'!$G$10*'Calcs - Power'!$B67+'Emissions Factors'!$G$11*('Calcs - Power'!C67+'Calcs - Power'!D67+'Calcs - Power'!E67+'Calcs - Power'!F67))</f>
        <v>101211394.28199917</v>
      </c>
      <c r="BC68" s="359">
        <f>(102*'Emissions Factors'!$F$10*'Calcs - Power'!$G67+'Emissions Factors'!$F$11*('Calcs - Power'!$H67+'Calcs - Power'!$I67+'Calcs - Power'!$J67+'Calcs - Power'!$K67))</f>
        <v>3497887.1815608619</v>
      </c>
      <c r="BD68" s="366">
        <f>(102*'Emissions Factors'!$F$10*'Calcs - Power'!$B67+'Emissions Factors'!$F$11*('Calcs - Power'!$C67+'Calcs - Power'!$D67+'Calcs - Power'!$E67+'Calcs - Power'!$F67))</f>
        <v>118897226.41007876</v>
      </c>
      <c r="BE68" s="359">
        <f>(102*'Emissions Factors'!$G$10*'Calcs - Power'!$G67+'Emissions Factors'!$G$11*('Calcs - Power'!H67+'Calcs - Power'!I67+'Calcs - Power'!J67+'Calcs - Power'!K67))</f>
        <v>3192727.5680564689</v>
      </c>
      <c r="BF68" s="366">
        <f>(102*'Emissions Factors'!$G$10*'Calcs - Power'!$B67+'Emissions Factors'!$G$11*('Calcs - Power'!C67+'Calcs - Power'!D67+'Calcs - Power'!E67+'Calcs - Power'!F67))</f>
        <v>101211394.28199917</v>
      </c>
    </row>
    <row r="69" spans="1:58" x14ac:dyDescent="0.3">
      <c r="A69" s="351">
        <f t="shared" si="10"/>
        <v>57</v>
      </c>
      <c r="B69" s="352">
        <f t="shared" ref="B69:B132" si="14">(($I$3*Q69)+($J$3*S69)+($K$3*U69)+($L$3*W69))/(($M$3*Y69)+($N$3*AA69))</f>
        <v>0.99999999999999978</v>
      </c>
      <c r="C69" s="363">
        <f t="shared" ref="C69:C132" si="15">(($I$3*R69)+($J$3*T69)+($K$3*V69)+($L$3*X69))/(($M$3*Z69)+($N$3*AB69))</f>
        <v>0.99999999999999978</v>
      </c>
      <c r="D69" s="352">
        <f t="shared" ref="D69:D132" si="16">(($AD$3*AJ69)+($AE$3*AL69))/(($AF$3*AN69)+($AG$3*AP69))</f>
        <v>1</v>
      </c>
      <c r="E69" s="364">
        <f t="shared" ref="E69:E132" si="17">(($AD$3*AK69)+($AE$3*AM69))/(($AF$3*AO69)+($AG$3*AQ69))</f>
        <v>1</v>
      </c>
      <c r="F69" s="364">
        <f t="shared" ref="F69:F132" si="18">(($AS$3*AY69)+($AT$3*BA69))/(($AU$3*BC69)+($AV$3*BE69))</f>
        <v>1</v>
      </c>
      <c r="G69" s="365">
        <f t="shared" ref="G69:G132" si="19">(($AS$3*AZ69)+($AT$3*BB69))/(($AU$3*BD69)+($AV$3*BF69))</f>
        <v>1</v>
      </c>
      <c r="P69" s="358">
        <f t="shared" si="11"/>
        <v>57</v>
      </c>
      <c r="Q69" s="359">
        <f>(('Methane Leakage'!$C$6/'Methane Leakage'!$C$5)*102*'Emissions Factors'!$C$38*'Calcs - Power'!$G68+'Emissions Factors'!$C$37*('Calcs - Power'!$H68+'Calcs - Power'!$I68+'Calcs - Power'!$J68+'Calcs - Power'!$K68))</f>
        <v>18799.32202792629</v>
      </c>
      <c r="R69" s="366">
        <f>(('Methane Leakage'!$C$6/'Methane Leakage'!$C$5)*102*'Emissions Factors'!$C$38*'Calcs - Power'!$B68+'Emissions Factors'!$C$37*('Calcs - Power'!$C68+'Calcs - Power'!$D68+'Calcs - Power'!$E68+'Calcs - Power'!$F68))</f>
        <v>651774.38878629263</v>
      </c>
      <c r="S69" s="359">
        <f>(('Methane Leakage'!$C$6/'Methane Leakage'!$C$5)*102*'Emissions Factors'!$D$38*'Calcs - Power'!$G68+'Emissions Factors'!$D$37*('Calcs - Power'!$H68+'Calcs - Power'!$I68+'Calcs - Power'!$J68+'Calcs - Power'!$K68))</f>
        <v>18799.32202792629</v>
      </c>
      <c r="T69" s="366">
        <f>(('Methane Leakage'!$C$6/'Methane Leakage'!$C$5)*102*'Emissions Factors'!$D$38*'Calcs - Power'!$B68+'Emissions Factors'!$D$37*('Calcs - Power'!$C68+'Calcs - Power'!$D68+'Calcs - Power'!$E68+'Calcs - Power'!$F68))</f>
        <v>651774.38878629263</v>
      </c>
      <c r="U69" s="361">
        <f>(102*'Emissions Factors'!$C$36*'Calcs - Power'!$G68+'Emissions Factors'!$C$35*('Calcs - Power'!$H68+'Calcs - Power'!$I68+'Calcs - Power'!$J68+'Calcs - Power'!$K68))</f>
        <v>31341.618315863729</v>
      </c>
      <c r="V69" s="366">
        <f>(102*'Emissions Factors'!$C$36*'Calcs - Power'!$B68+'Emissions Factors'!$C$35*('Calcs - Power'!$C68+'Calcs - Power'!$D68+'Calcs - Power'!$E68+'Calcs - Power'!$F68))</f>
        <v>1008606.0850399706</v>
      </c>
      <c r="W69" s="359">
        <f>(102*'Emissions Factors'!$D$36*'Calcs - Power'!$G68+'Emissions Factors'!$D$35*('Calcs - Power'!$H68+'Calcs - Power'!$I68+'Calcs - Power'!$J68+'Calcs - Power'!$K68))</f>
        <v>31341.618315863729</v>
      </c>
      <c r="X69" s="366">
        <f>(102*'Emissions Factors'!$D$36*'Calcs - Power'!$B68+'Emissions Factors'!$D$35*('Calcs - Power'!$C68+'Calcs - Power'!$D68+'Calcs - Power'!$E68+'Calcs - Power'!$F68))</f>
        <v>1008606.0850399706</v>
      </c>
      <c r="Y69" s="359">
        <f>(102*'Emissions Factors'!$C$38*'Calcs - Power'!$G68+'Emissions Factors'!$C$37*('Calcs - Power'!$H68+'Calcs - Power'!$I68+'Calcs - Power'!$J68+'Calcs - Power'!$K68))</f>
        <v>18799.32202792629</v>
      </c>
      <c r="Z69" s="366">
        <f>(102*'Emissions Factors'!$C$38*'Calcs - Power'!$B68+'Emissions Factors'!$C$37*('Calcs - Power'!$C68+'Calcs - Power'!$D68+'Calcs - Power'!$E68+'Calcs - Power'!$F68))</f>
        <v>651774.38878629263</v>
      </c>
      <c r="AA69" s="359">
        <f>(102*'Emissions Factors'!$C$36*'Calcs - Power'!$G68+'Emissions Factors'!$C$35*('Calcs - Power'!$H68+'Calcs - Power'!$I68+'Calcs - Power'!$J68+'Calcs - Power'!$K68))</f>
        <v>31341.618315863729</v>
      </c>
      <c r="AB69" s="366">
        <f>(102*'Emissions Factors'!$C$36*'Calcs - Power'!$B68+'Emissions Factors'!$C$35*('Calcs - Power'!$C68+'Calcs - Power'!$D68+'Calcs - Power'!$E68+'Calcs - Power'!$F68))</f>
        <v>1008606.0850399706</v>
      </c>
      <c r="AI69" s="358">
        <f t="shared" si="12"/>
        <v>57</v>
      </c>
      <c r="AJ69" s="359">
        <f>(('Methane Leakage'!$G$6/'Methane Leakage'!$G$5)*102*'Emissions Factors'!$D$10*'Calcs - Power'!$G68+'Emissions Factors'!$D$11*('Calcs - Power'!$H68+'Calcs - Power'!$I68+'Calcs - Power'!$J68+'Calcs - Power'!$K68))</f>
        <v>2663.7289875285828</v>
      </c>
      <c r="AK69" s="366">
        <f>(('Methane Leakage'!$G$6/'Methane Leakage'!$G$5)*102*'Emissions Factors'!$D$10*'Calcs - Power'!$B68+'Emissions Factors'!$D$11*('Calcs - Power'!$C68+'Calcs - Power'!$D68+'Calcs - Power'!$E68+'Calcs - Power'!$F68))</f>
        <v>94497.6629885726</v>
      </c>
      <c r="AL69" s="359">
        <f>(102*'Emissions Factors'!$E$10*'Calcs - Power'!$G68+'Emissions Factors'!$E$11*('Calcs - Power'!H68+'Calcs - Power'!I68+'Calcs - Power'!J68+'Calcs - Power'!K68))</f>
        <v>2811.9350977954964</v>
      </c>
      <c r="AM69" s="366">
        <f>(102*'Emissions Factors'!$E$10*'Calcs - Power'!$B68+'Emissions Factors'!$E$11*('Calcs - Power'!C68+'Calcs - Power'!D68+'Calcs - Power'!E68+'Calcs - Power'!F68))</f>
        <v>91085.51670736169</v>
      </c>
      <c r="AN69" s="359">
        <f>(102*'Emissions Factors'!$D$10*'Calcs - Power'!$G68+'Emissions Factors'!$D$11*('Calcs - Power'!$H68+'Calcs - Power'!$I68+'Calcs - Power'!$J68+'Calcs - Power'!$K68))</f>
        <v>2663.7289875285828</v>
      </c>
      <c r="AO69" s="366">
        <f>(102*'Emissions Factors'!$D$10*'Calcs - Power'!$B68+'Emissions Factors'!$D$11*('Calcs - Power'!$C68+'Calcs - Power'!$D68+'Calcs - Power'!$E68+'Calcs - Power'!$F68))</f>
        <v>94497.6629885726</v>
      </c>
      <c r="AP69" s="367">
        <f>(102*'Emissions Factors'!$E$10*'Calcs - Power'!$G68+'Emissions Factors'!$E$11*('Calcs - Power'!H68+'Calcs - Power'!I68+'Calcs - Power'!J68+'Calcs - Power'!K68))</f>
        <v>2811.9350977954964</v>
      </c>
      <c r="AQ69" s="366">
        <f>(102*'Emissions Factors'!$E$10*'Calcs - Power'!$B68+'Emissions Factors'!$E$11*('Calcs - Power'!C68+'Calcs - Power'!D68+'Calcs - Power'!E68+'Calcs - Power'!F68))</f>
        <v>91085.51670736169</v>
      </c>
      <c r="AS69" s="357"/>
      <c r="AT69" s="357"/>
      <c r="AU69" s="357"/>
      <c r="AV69" s="357"/>
      <c r="AX69" s="358">
        <f t="shared" si="13"/>
        <v>57</v>
      </c>
      <c r="AY69" s="359">
        <f>(('Methane Leakage'!$G$6/'Methane Leakage'!$G$5)*102*'Emissions Factors'!$F$10*'Calcs - Power'!$G68+'Emissions Factors'!$F$11*('Calcs - Power'!$H68+'Calcs - Power'!$I68+'Calcs - Power'!$J68+'Calcs - Power'!$K68))</f>
        <v>3536223.5375280026</v>
      </c>
      <c r="AZ69" s="366">
        <f>(('Methane Leakage'!$G$6/'Methane Leakage'!$G$5)*102*'Emissions Factors'!$F$10*'Calcs - Power'!$B68+'Emissions Factors'!$F$11*('Calcs - Power'!$C68+'Calcs - Power'!$D68+'Calcs - Power'!$E68+'Calcs - Power'!$F68))</f>
        <v>122414300.20954433</v>
      </c>
      <c r="BA69" s="359">
        <f>(102*'Emissions Factors'!$G$10*'Calcs - Power'!$G68+'Emissions Factors'!$G$11*('Calcs - Power'!H68+'Calcs - Power'!I68+'Calcs - Power'!J68+'Calcs - Power'!K68))</f>
        <v>3234796.9112402685</v>
      </c>
      <c r="BB69" s="366">
        <f>(102*'Emissions Factors'!$G$10*'Calcs - Power'!$B68+'Emissions Factors'!$G$11*('Calcs - Power'!C68+'Calcs - Power'!D68+'Calcs - Power'!E68+'Calcs - Power'!F68))</f>
        <v>104425173.35387275</v>
      </c>
      <c r="BC69" s="359">
        <f>(102*'Emissions Factors'!$F$10*'Calcs - Power'!$G68+'Emissions Factors'!$F$11*('Calcs - Power'!$H68+'Calcs - Power'!$I68+'Calcs - Power'!$J68+'Calcs - Power'!$K68))</f>
        <v>3536223.5375280026</v>
      </c>
      <c r="BD69" s="366">
        <f>(102*'Emissions Factors'!$F$10*'Calcs - Power'!$B68+'Emissions Factors'!$F$11*('Calcs - Power'!$C68+'Calcs - Power'!$D68+'Calcs - Power'!$E68+'Calcs - Power'!$F68))</f>
        <v>122414300.20954433</v>
      </c>
      <c r="BE69" s="359">
        <f>(102*'Emissions Factors'!$G$10*'Calcs - Power'!$G68+'Emissions Factors'!$G$11*('Calcs - Power'!H68+'Calcs - Power'!I68+'Calcs - Power'!J68+'Calcs - Power'!K68))</f>
        <v>3234796.9112402685</v>
      </c>
      <c r="BF69" s="366">
        <f>(102*'Emissions Factors'!$G$10*'Calcs - Power'!$B68+'Emissions Factors'!$G$11*('Calcs - Power'!C68+'Calcs - Power'!D68+'Calcs - Power'!E68+'Calcs - Power'!F68))</f>
        <v>104425173.35387275</v>
      </c>
    </row>
    <row r="70" spans="1:58" x14ac:dyDescent="0.3">
      <c r="A70" s="351">
        <f t="shared" si="10"/>
        <v>58</v>
      </c>
      <c r="B70" s="352">
        <f t="shared" si="14"/>
        <v>0.99999999999999978</v>
      </c>
      <c r="C70" s="363">
        <f t="shared" si="15"/>
        <v>1</v>
      </c>
      <c r="D70" s="352">
        <f t="shared" si="16"/>
        <v>1</v>
      </c>
      <c r="E70" s="364">
        <f t="shared" si="17"/>
        <v>1</v>
      </c>
      <c r="F70" s="364">
        <f t="shared" si="18"/>
        <v>1</v>
      </c>
      <c r="G70" s="365">
        <f t="shared" si="19"/>
        <v>1</v>
      </c>
      <c r="P70" s="358">
        <f t="shared" si="11"/>
        <v>58</v>
      </c>
      <c r="Q70" s="359">
        <f>(('Methane Leakage'!$C$6/'Methane Leakage'!$C$5)*102*'Emissions Factors'!$C$38*'Calcs - Power'!$G69+'Emissions Factors'!$C$37*('Calcs - Power'!$H69+'Calcs - Power'!$I69+'Calcs - Power'!$J69+'Calcs - Power'!$K69))</f>
        <v>19001.051514453655</v>
      </c>
      <c r="R70" s="366">
        <f>(('Methane Leakage'!$C$6/'Methane Leakage'!$C$5)*102*'Emissions Factors'!$C$38*'Calcs - Power'!$B69+'Emissions Factors'!$C$37*('Calcs - Power'!$C69+'Calcs - Power'!$D69+'Calcs - Power'!$E69+'Calcs - Power'!$F69))</f>
        <v>670674.66987140325</v>
      </c>
      <c r="S70" s="359">
        <f>(('Methane Leakage'!$C$6/'Methane Leakage'!$C$5)*102*'Emissions Factors'!$D$38*'Calcs - Power'!$G69+'Emissions Factors'!$D$37*('Calcs - Power'!$H69+'Calcs - Power'!$I69+'Calcs - Power'!$J69+'Calcs - Power'!$K69))</f>
        <v>19001.051514453655</v>
      </c>
      <c r="T70" s="366">
        <f>(('Methane Leakage'!$C$6/'Methane Leakage'!$C$5)*102*'Emissions Factors'!$D$38*'Calcs - Power'!$B69+'Emissions Factors'!$D$37*('Calcs - Power'!$C69+'Calcs - Power'!$D69+'Calcs - Power'!$E69+'Calcs - Power'!$F69))</f>
        <v>670674.66987140325</v>
      </c>
      <c r="U70" s="361">
        <f>(102*'Emissions Factors'!$C$36*'Calcs - Power'!$G69+'Emissions Factors'!$C$35*('Calcs - Power'!$H69+'Calcs - Power'!$I69+'Calcs - Power'!$J69+'Calcs - Power'!$K69))</f>
        <v>31750.22206161559</v>
      </c>
      <c r="V70" s="366">
        <f>(102*'Emissions Factors'!$C$36*'Calcs - Power'!$B69+'Emissions Factors'!$C$35*('Calcs - Power'!$C69+'Calcs - Power'!$D69+'Calcs - Power'!$E69+'Calcs - Power'!$F69))</f>
        <v>1040152.1637028136</v>
      </c>
      <c r="W70" s="359">
        <f>(102*'Emissions Factors'!$D$36*'Calcs - Power'!$G69+'Emissions Factors'!$D$35*('Calcs - Power'!$H69+'Calcs - Power'!$I69+'Calcs - Power'!$J69+'Calcs - Power'!$K69))</f>
        <v>31750.22206161559</v>
      </c>
      <c r="X70" s="366">
        <f>(102*'Emissions Factors'!$D$36*'Calcs - Power'!$B69+'Emissions Factors'!$D$35*('Calcs - Power'!$C69+'Calcs - Power'!$D69+'Calcs - Power'!$E69+'Calcs - Power'!$F69))</f>
        <v>1040152.1637028136</v>
      </c>
      <c r="Y70" s="359">
        <f>(102*'Emissions Factors'!$C$38*'Calcs - Power'!$G69+'Emissions Factors'!$C$37*('Calcs - Power'!$H69+'Calcs - Power'!$I69+'Calcs - Power'!$J69+'Calcs - Power'!$K69))</f>
        <v>19001.051514453655</v>
      </c>
      <c r="Z70" s="366">
        <f>(102*'Emissions Factors'!$C$38*'Calcs - Power'!$B69+'Emissions Factors'!$C$37*('Calcs - Power'!$C69+'Calcs - Power'!$D69+'Calcs - Power'!$E69+'Calcs - Power'!$F69))</f>
        <v>670674.66987140325</v>
      </c>
      <c r="AA70" s="359">
        <f>(102*'Emissions Factors'!$C$36*'Calcs - Power'!$G69+'Emissions Factors'!$C$35*('Calcs - Power'!$H69+'Calcs - Power'!$I69+'Calcs - Power'!$J69+'Calcs - Power'!$K69))</f>
        <v>31750.22206161559</v>
      </c>
      <c r="AB70" s="366">
        <f>(102*'Emissions Factors'!$C$36*'Calcs - Power'!$B69+'Emissions Factors'!$C$35*('Calcs - Power'!$C69+'Calcs - Power'!$D69+'Calcs - Power'!$E69+'Calcs - Power'!$F69))</f>
        <v>1040152.1637028136</v>
      </c>
      <c r="AI70" s="358">
        <f t="shared" si="12"/>
        <v>58</v>
      </c>
      <c r="AJ70" s="359">
        <f>(('Methane Leakage'!$G$6/'Methane Leakage'!$G$5)*102*'Emissions Factors'!$D$10*'Calcs - Power'!$G69+'Emissions Factors'!$D$11*('Calcs - Power'!$H69+'Calcs - Power'!$I69+'Calcs - Power'!$J69+'Calcs - Power'!$K69))</f>
        <v>2690.3241537995345</v>
      </c>
      <c r="AK70" s="366">
        <f>(('Methane Leakage'!$G$6/'Methane Leakage'!$G$5)*102*'Emissions Factors'!$D$10*'Calcs - Power'!$B69+'Emissions Factors'!$D$11*('Calcs - Power'!$C69+'Calcs - Power'!$D69+'Calcs - Power'!$E69+'Calcs - Power'!$F69))</f>
        <v>97174.702888815023</v>
      </c>
      <c r="AL70" s="359">
        <f>(102*'Emissions Factors'!$E$10*'Calcs - Power'!$G69+'Emissions Factors'!$E$11*('Calcs - Power'!H69+'Calcs - Power'!I69+'Calcs - Power'!J69+'Calcs - Power'!K69))</f>
        <v>2848.0436908117813</v>
      </c>
      <c r="AM70" s="366">
        <f>(102*'Emissions Factors'!$E$10*'Calcs - Power'!$B69+'Emissions Factors'!$E$11*('Calcs - Power'!C69+'Calcs - Power'!D69+'Calcs - Power'!E69+'Calcs - Power'!F69))</f>
        <v>93915.520310358537</v>
      </c>
      <c r="AN70" s="359">
        <f>(102*'Emissions Factors'!$D$10*'Calcs - Power'!$G69+'Emissions Factors'!$D$11*('Calcs - Power'!$H69+'Calcs - Power'!$I69+'Calcs - Power'!$J69+'Calcs - Power'!$K69))</f>
        <v>2690.3241537995345</v>
      </c>
      <c r="AO70" s="366">
        <f>(102*'Emissions Factors'!$D$10*'Calcs - Power'!$B69+'Emissions Factors'!$D$11*('Calcs - Power'!$C69+'Calcs - Power'!$D69+'Calcs - Power'!$E69+'Calcs - Power'!$F69))</f>
        <v>97174.702888815023</v>
      </c>
      <c r="AP70" s="367">
        <f>(102*'Emissions Factors'!$E$10*'Calcs - Power'!$G69+'Emissions Factors'!$E$11*('Calcs - Power'!H69+'Calcs - Power'!I69+'Calcs - Power'!J69+'Calcs - Power'!K69))</f>
        <v>2848.0436908117813</v>
      </c>
      <c r="AQ70" s="366">
        <f>(102*'Emissions Factors'!$E$10*'Calcs - Power'!$B69+'Emissions Factors'!$E$11*('Calcs - Power'!C69+'Calcs - Power'!D69+'Calcs - Power'!E69+'Calcs - Power'!F69))</f>
        <v>93915.520310358537</v>
      </c>
      <c r="AS70" s="357"/>
      <c r="AT70" s="357"/>
      <c r="AU70" s="357"/>
      <c r="AV70" s="357"/>
      <c r="AX70" s="358">
        <f t="shared" si="13"/>
        <v>58</v>
      </c>
      <c r="AY70" s="359">
        <f>(('Methane Leakage'!$G$6/'Methane Leakage'!$G$5)*102*'Emissions Factors'!$F$10*'Calcs - Power'!$G69+'Emissions Factors'!$F$11*('Calcs - Power'!$H69+'Calcs - Power'!$I69+'Calcs - Power'!$J69+'Calcs - Power'!$K69))</f>
        <v>3574342.8268825267</v>
      </c>
      <c r="AZ70" s="366">
        <f>(('Methane Leakage'!$G$6/'Methane Leakage'!$G$5)*102*'Emissions Factors'!$F$10*'Calcs - Power'!$B69+'Emissions Factors'!$F$11*('Calcs - Power'!$C69+'Calcs - Power'!$D69+'Calcs - Power'!$E69+'Calcs - Power'!$F69))</f>
        <v>125969601.13551864</v>
      </c>
      <c r="BA70" s="359">
        <f>(102*'Emissions Factors'!$G$10*'Calcs - Power'!$G69+'Emissions Factors'!$G$11*('Calcs - Power'!H69+'Calcs - Power'!I69+'Calcs - Power'!J69+'Calcs - Power'!K69))</f>
        <v>3276667.1745411083</v>
      </c>
      <c r="BB70" s="366">
        <f>(102*'Emissions Factors'!$G$10*'Calcs - Power'!$B69+'Emissions Factors'!$G$11*('Calcs - Power'!C69+'Calcs - Power'!D69+'Calcs - Power'!E69+'Calcs - Power'!F69))</f>
        <v>107680921.74784999</v>
      </c>
      <c r="BC70" s="359">
        <f>(102*'Emissions Factors'!$F$10*'Calcs - Power'!$G69+'Emissions Factors'!$F$11*('Calcs - Power'!$H69+'Calcs - Power'!$I69+'Calcs - Power'!$J69+'Calcs - Power'!$K69))</f>
        <v>3574342.8268825267</v>
      </c>
      <c r="BD70" s="366">
        <f>(102*'Emissions Factors'!$F$10*'Calcs - Power'!$B69+'Emissions Factors'!$F$11*('Calcs - Power'!$C69+'Calcs - Power'!$D69+'Calcs - Power'!$E69+'Calcs - Power'!$F69))</f>
        <v>125969601.13551864</v>
      </c>
      <c r="BE70" s="359">
        <f>(102*'Emissions Factors'!$G$10*'Calcs - Power'!$G69+'Emissions Factors'!$G$11*('Calcs - Power'!H69+'Calcs - Power'!I69+'Calcs - Power'!J69+'Calcs - Power'!K69))</f>
        <v>3276667.1745411083</v>
      </c>
      <c r="BF70" s="366">
        <f>(102*'Emissions Factors'!$G$10*'Calcs - Power'!$B69+'Emissions Factors'!$G$11*('Calcs - Power'!C69+'Calcs - Power'!D69+'Calcs - Power'!E69+'Calcs - Power'!F69))</f>
        <v>107680921.74784999</v>
      </c>
    </row>
    <row r="71" spans="1:58" x14ac:dyDescent="0.3">
      <c r="A71" s="351">
        <f t="shared" si="10"/>
        <v>59</v>
      </c>
      <c r="B71" s="352">
        <f t="shared" si="14"/>
        <v>0.99999999999999978</v>
      </c>
      <c r="C71" s="363">
        <f t="shared" si="15"/>
        <v>0.99999999999999978</v>
      </c>
      <c r="D71" s="352">
        <f t="shared" si="16"/>
        <v>1</v>
      </c>
      <c r="E71" s="364">
        <f t="shared" si="17"/>
        <v>1</v>
      </c>
      <c r="F71" s="364">
        <f t="shared" si="18"/>
        <v>1</v>
      </c>
      <c r="G71" s="365">
        <f t="shared" si="19"/>
        <v>1</v>
      </c>
      <c r="P71" s="358">
        <f t="shared" si="11"/>
        <v>59</v>
      </c>
      <c r="Q71" s="359">
        <f>(('Methane Leakage'!$C$6/'Methane Leakage'!$C$5)*102*'Emissions Factors'!$C$38*'Calcs - Power'!$G70+'Emissions Factors'!$C$37*('Calcs - Power'!$H70+'Calcs - Power'!$I70+'Calcs - Power'!$J70+'Calcs - Power'!$K70))</f>
        <v>19201.670360031581</v>
      </c>
      <c r="R71" s="366">
        <f>(('Methane Leakage'!$C$6/'Methane Leakage'!$C$5)*102*'Emissions Factors'!$C$38*'Calcs - Power'!$B70+'Emissions Factors'!$C$37*('Calcs - Power'!$C70+'Calcs - Power'!$D70+'Calcs - Power'!$E70+'Calcs - Power'!$F70))</f>
        <v>689776.1216311336</v>
      </c>
      <c r="S71" s="359">
        <f>(('Methane Leakage'!$C$6/'Methane Leakage'!$C$5)*102*'Emissions Factors'!$D$38*'Calcs - Power'!$G70+'Emissions Factors'!$D$37*('Calcs - Power'!$H70+'Calcs - Power'!$I70+'Calcs - Power'!$J70+'Calcs - Power'!$K70))</f>
        <v>19201.670360031581</v>
      </c>
      <c r="T71" s="366">
        <f>(('Methane Leakage'!$C$6/'Methane Leakage'!$C$5)*102*'Emissions Factors'!$D$38*'Calcs - Power'!$B70+'Emissions Factors'!$D$37*('Calcs - Power'!$C70+'Calcs - Power'!$D70+'Calcs - Power'!$E70+'Calcs - Power'!$F70))</f>
        <v>689776.1216311336</v>
      </c>
      <c r="U71" s="361">
        <f>(102*'Emissions Factors'!$C$36*'Calcs - Power'!$G70+'Emissions Factors'!$C$35*('Calcs - Power'!$H70+'Calcs - Power'!$I70+'Calcs - Power'!$J70+'Calcs - Power'!$K70))</f>
        <v>32156.95050227188</v>
      </c>
      <c r="V71" s="366">
        <f>(102*'Emissions Factors'!$C$36*'Calcs - Power'!$B70+'Emissions Factors'!$C$35*('Calcs - Power'!$C70+'Calcs - Power'!$D70+'Calcs - Power'!$E70+'Calcs - Power'!$F70))</f>
        <v>1072105.9040911526</v>
      </c>
      <c r="W71" s="359">
        <f>(102*'Emissions Factors'!$D$36*'Calcs - Power'!$G70+'Emissions Factors'!$D$35*('Calcs - Power'!$H70+'Calcs - Power'!$I70+'Calcs - Power'!$J70+'Calcs - Power'!$K70))</f>
        <v>32156.95050227188</v>
      </c>
      <c r="X71" s="366">
        <f>(102*'Emissions Factors'!$D$36*'Calcs - Power'!$B70+'Emissions Factors'!$D$35*('Calcs - Power'!$C70+'Calcs - Power'!$D70+'Calcs - Power'!$E70+'Calcs - Power'!$F70))</f>
        <v>1072105.9040911526</v>
      </c>
      <c r="Y71" s="359">
        <f>(102*'Emissions Factors'!$C$38*'Calcs - Power'!$G70+'Emissions Factors'!$C$37*('Calcs - Power'!$H70+'Calcs - Power'!$I70+'Calcs - Power'!$J70+'Calcs - Power'!$K70))</f>
        <v>19201.670360031581</v>
      </c>
      <c r="Z71" s="366">
        <f>(102*'Emissions Factors'!$C$38*'Calcs - Power'!$B70+'Emissions Factors'!$C$37*('Calcs - Power'!$C70+'Calcs - Power'!$D70+'Calcs - Power'!$E70+'Calcs - Power'!$F70))</f>
        <v>689776.1216311336</v>
      </c>
      <c r="AA71" s="359">
        <f>(102*'Emissions Factors'!$C$36*'Calcs - Power'!$G70+'Emissions Factors'!$C$35*('Calcs - Power'!$H70+'Calcs - Power'!$I70+'Calcs - Power'!$J70+'Calcs - Power'!$K70))</f>
        <v>32156.95050227188</v>
      </c>
      <c r="AB71" s="366">
        <f>(102*'Emissions Factors'!$C$36*'Calcs - Power'!$B70+'Emissions Factors'!$C$35*('Calcs - Power'!$C70+'Calcs - Power'!$D70+'Calcs - Power'!$E70+'Calcs - Power'!$F70))</f>
        <v>1072105.9040911526</v>
      </c>
      <c r="AI71" s="358">
        <f t="shared" si="12"/>
        <v>59</v>
      </c>
      <c r="AJ71" s="359">
        <f>(('Methane Leakage'!$G$6/'Methane Leakage'!$G$5)*102*'Emissions Factors'!$D$10*'Calcs - Power'!$G70+'Emissions Factors'!$D$11*('Calcs - Power'!$H70+'Calcs - Power'!$I70+'Calcs - Power'!$J70+'Calcs - Power'!$K70))</f>
        <v>2716.7626016221816</v>
      </c>
      <c r="AK71" s="366">
        <f>(('Methane Leakage'!$G$6/'Methane Leakage'!$G$5)*102*'Emissions Factors'!$D$10*'Calcs - Power'!$B70+'Emissions Factors'!$D$11*('Calcs - Power'!$C70+'Calcs - Power'!$D70+'Calcs - Power'!$E70+'Calcs - Power'!$F70))</f>
        <v>99878.259061421792</v>
      </c>
      <c r="AL71" s="359">
        <f>(102*'Emissions Factors'!$E$10*'Calcs - Power'!$G70+'Emissions Factors'!$E$11*('Calcs - Power'!H70+'Calcs - Power'!I70+'Calcs - Power'!J70+'Calcs - Power'!K70))</f>
        <v>2883.9842140069591</v>
      </c>
      <c r="AM71" s="366">
        <f>(102*'Emissions Factors'!$E$10*'Calcs - Power'!$B70+'Emissions Factors'!$E$11*('Calcs - Power'!C70+'Calcs - Power'!D70+'Calcs - Power'!E70+'Calcs - Power'!F70))</f>
        <v>96781.548068521559</v>
      </c>
      <c r="AN71" s="359">
        <f>(102*'Emissions Factors'!$D$10*'Calcs - Power'!$G70+'Emissions Factors'!$D$11*('Calcs - Power'!$H70+'Calcs - Power'!$I70+'Calcs - Power'!$J70+'Calcs - Power'!$K70))</f>
        <v>2716.7626016221816</v>
      </c>
      <c r="AO71" s="366">
        <f>(102*'Emissions Factors'!$D$10*'Calcs - Power'!$B70+'Emissions Factors'!$D$11*('Calcs - Power'!$C70+'Calcs - Power'!$D70+'Calcs - Power'!$E70+'Calcs - Power'!$F70))</f>
        <v>99878.259061421792</v>
      </c>
      <c r="AP71" s="367">
        <f>(102*'Emissions Factors'!$E$10*'Calcs - Power'!$G70+'Emissions Factors'!$E$11*('Calcs - Power'!H70+'Calcs - Power'!I70+'Calcs - Power'!J70+'Calcs - Power'!K70))</f>
        <v>2883.9842140069591</v>
      </c>
      <c r="AQ71" s="366">
        <f>(102*'Emissions Factors'!$E$10*'Calcs - Power'!$B70+'Emissions Factors'!$E$11*('Calcs - Power'!C70+'Calcs - Power'!D70+'Calcs - Power'!E70+'Calcs - Power'!F70))</f>
        <v>96781.548068521559</v>
      </c>
      <c r="AS71" s="357"/>
      <c r="AT71" s="357"/>
      <c r="AU71" s="357"/>
      <c r="AV71" s="357"/>
      <c r="AX71" s="358">
        <f t="shared" si="13"/>
        <v>59</v>
      </c>
      <c r="AY71" s="359">
        <f>(('Methane Leakage'!$G$6/'Methane Leakage'!$G$5)*102*'Emissions Factors'!$F$10*'Calcs - Power'!$G70+'Emissions Factors'!$F$11*('Calcs - Power'!$H70+'Calcs - Power'!$I70+'Calcs - Power'!$J70+'Calcs - Power'!$K70))</f>
        <v>3612253.1437337226</v>
      </c>
      <c r="AZ71" s="366">
        <f>(('Methane Leakage'!$G$6/'Methane Leakage'!$G$5)*102*'Emissions Factors'!$F$10*'Calcs - Power'!$B70+'Emissions Factors'!$F$11*('Calcs - Power'!$C70+'Calcs - Power'!$D70+'Calcs - Power'!$E70+'Calcs - Power'!$F70))</f>
        <v>129562916.21132591</v>
      </c>
      <c r="BA71" s="359">
        <f>(102*'Emissions Factors'!$G$10*'Calcs - Power'!$G70+'Emissions Factors'!$G$11*('Calcs - Power'!H70+'Calcs - Power'!I70+'Calcs - Power'!J70+'Calcs - Power'!K70))</f>
        <v>3318343.9848644682</v>
      </c>
      <c r="BB71" s="366">
        <f>(102*'Emissions Factors'!$G$10*'Calcs - Power'!$B70+'Emissions Factors'!$G$11*('Calcs - Power'!C70+'Calcs - Power'!D70+'Calcs - Power'!E70+'Calcs - Power'!F70))</f>
        <v>110978443.22177146</v>
      </c>
      <c r="BC71" s="359">
        <f>(102*'Emissions Factors'!$F$10*'Calcs - Power'!$G70+'Emissions Factors'!$F$11*('Calcs - Power'!$H70+'Calcs - Power'!$I70+'Calcs - Power'!$J70+'Calcs - Power'!$K70))</f>
        <v>3612253.1437337226</v>
      </c>
      <c r="BD71" s="366">
        <f>(102*'Emissions Factors'!$F$10*'Calcs - Power'!$B70+'Emissions Factors'!$F$11*('Calcs - Power'!$C70+'Calcs - Power'!$D70+'Calcs - Power'!$E70+'Calcs - Power'!$F70))</f>
        <v>129562916.21132591</v>
      </c>
      <c r="BE71" s="359">
        <f>(102*'Emissions Factors'!$G$10*'Calcs - Power'!$G70+'Emissions Factors'!$G$11*('Calcs - Power'!H70+'Calcs - Power'!I70+'Calcs - Power'!J70+'Calcs - Power'!K70))</f>
        <v>3318343.9848644682</v>
      </c>
      <c r="BF71" s="366">
        <f>(102*'Emissions Factors'!$G$10*'Calcs - Power'!$B70+'Emissions Factors'!$G$11*('Calcs - Power'!C70+'Calcs - Power'!D70+'Calcs - Power'!E70+'Calcs - Power'!F70))</f>
        <v>110978443.22177146</v>
      </c>
    </row>
    <row r="72" spans="1:58" x14ac:dyDescent="0.3">
      <c r="A72" s="351">
        <f t="shared" si="10"/>
        <v>60</v>
      </c>
      <c r="B72" s="352">
        <f t="shared" si="14"/>
        <v>1</v>
      </c>
      <c r="C72" s="363">
        <f t="shared" si="15"/>
        <v>0.99999999999999978</v>
      </c>
      <c r="D72" s="352">
        <f t="shared" si="16"/>
        <v>1</v>
      </c>
      <c r="E72" s="364">
        <f t="shared" si="17"/>
        <v>1</v>
      </c>
      <c r="F72" s="364">
        <f t="shared" si="18"/>
        <v>1</v>
      </c>
      <c r="G72" s="365">
        <f t="shared" si="19"/>
        <v>1</v>
      </c>
      <c r="P72" s="358">
        <f t="shared" si="11"/>
        <v>60</v>
      </c>
      <c r="Q72" s="359">
        <f>(('Methane Leakage'!$C$6/'Methane Leakage'!$C$5)*102*'Emissions Factors'!$C$38*'Calcs - Power'!$G71+'Emissions Factors'!$C$37*('Calcs - Power'!$H71+'Calcs - Power'!$I71+'Calcs - Power'!$J71+'Calcs - Power'!$K71))</f>
        <v>19401.219164268812</v>
      </c>
      <c r="R72" s="366">
        <f>(('Methane Leakage'!$C$6/'Methane Leakage'!$C$5)*102*'Emissions Factors'!$C$38*'Calcs - Power'!$B71+'Emissions Factors'!$C$37*('Calcs - Power'!$C71+'Calcs - Power'!$D71+'Calcs - Power'!$E71+'Calcs - Power'!$F71))</f>
        <v>709077.65393858799</v>
      </c>
      <c r="S72" s="359">
        <f>(('Methane Leakage'!$C$6/'Methane Leakage'!$C$5)*102*'Emissions Factors'!$D$38*'Calcs - Power'!$G71+'Emissions Factors'!$D$37*('Calcs - Power'!$H71+'Calcs - Power'!$I71+'Calcs - Power'!$J71+'Calcs - Power'!$K71))</f>
        <v>19401.219164268812</v>
      </c>
      <c r="T72" s="366">
        <f>(('Methane Leakage'!$C$6/'Methane Leakage'!$C$5)*102*'Emissions Factors'!$D$38*'Calcs - Power'!$B71+'Emissions Factors'!$D$37*('Calcs - Power'!$C71+'Calcs - Power'!$D71+'Calcs - Power'!$E71+'Calcs - Power'!$F71))</f>
        <v>709077.65393858799</v>
      </c>
      <c r="U72" s="361">
        <f>(102*'Emissions Factors'!$C$36*'Calcs - Power'!$G71+'Emissions Factors'!$C$35*('Calcs - Power'!$H71+'Calcs - Power'!$I71+'Calcs - Power'!$J71+'Calcs - Power'!$K71))</f>
        <v>32561.85474363972</v>
      </c>
      <c r="V72" s="366">
        <f>(102*'Emissions Factors'!$C$36*'Calcs - Power'!$B71+'Emissions Factors'!$C$35*('Calcs - Power'!$C71+'Calcs - Power'!$D71+'Calcs - Power'!$E71+'Calcs - Power'!$F71))</f>
        <v>1104465.4566689248</v>
      </c>
      <c r="W72" s="359">
        <f>(102*'Emissions Factors'!$D$36*'Calcs - Power'!$G71+'Emissions Factors'!$D$35*('Calcs - Power'!$H71+'Calcs - Power'!$I71+'Calcs - Power'!$J71+'Calcs - Power'!$K71))</f>
        <v>32561.85474363972</v>
      </c>
      <c r="X72" s="366">
        <f>(102*'Emissions Factors'!$D$36*'Calcs - Power'!$B71+'Emissions Factors'!$D$35*('Calcs - Power'!$C71+'Calcs - Power'!$D71+'Calcs - Power'!$E71+'Calcs - Power'!$F71))</f>
        <v>1104465.4566689248</v>
      </c>
      <c r="Y72" s="359">
        <f>(102*'Emissions Factors'!$C$38*'Calcs - Power'!$G71+'Emissions Factors'!$C$37*('Calcs - Power'!$H71+'Calcs - Power'!$I71+'Calcs - Power'!$J71+'Calcs - Power'!$K71))</f>
        <v>19401.219164268812</v>
      </c>
      <c r="Z72" s="366">
        <f>(102*'Emissions Factors'!$C$38*'Calcs - Power'!$B71+'Emissions Factors'!$C$37*('Calcs - Power'!$C71+'Calcs - Power'!$D71+'Calcs - Power'!$E71+'Calcs - Power'!$F71))</f>
        <v>709077.65393858799</v>
      </c>
      <c r="AA72" s="359">
        <f>(102*'Emissions Factors'!$C$36*'Calcs - Power'!$G71+'Emissions Factors'!$C$35*('Calcs - Power'!$H71+'Calcs - Power'!$I71+'Calcs - Power'!$J71+'Calcs - Power'!$K71))</f>
        <v>32561.85474363972</v>
      </c>
      <c r="AB72" s="366">
        <f>(102*'Emissions Factors'!$C$36*'Calcs - Power'!$B71+'Emissions Factors'!$C$35*('Calcs - Power'!$C71+'Calcs - Power'!$D71+'Calcs - Power'!$E71+'Calcs - Power'!$F71))</f>
        <v>1104465.4566689248</v>
      </c>
      <c r="AI72" s="358">
        <f t="shared" si="12"/>
        <v>60</v>
      </c>
      <c r="AJ72" s="359">
        <f>(('Methane Leakage'!$G$6/'Methane Leakage'!$G$5)*102*'Emissions Factors'!$D$10*'Calcs - Power'!$G71+'Emissions Factors'!$D$11*('Calcs - Power'!$H71+'Calcs - Power'!$I71+'Calcs - Power'!$J71+'Calcs - Power'!$K71))</f>
        <v>2743.0505397638781</v>
      </c>
      <c r="AK72" s="366">
        <f>(('Methane Leakage'!$G$6/'Methane Leakage'!$G$5)*102*'Emissions Factors'!$D$10*'Calcs - Power'!$B71+'Emissions Factors'!$D$11*('Calcs - Power'!$C71+'Calcs - Power'!$D71+'Calcs - Power'!$E71+'Calcs - Power'!$F71))</f>
        <v>102608.17792656613</v>
      </c>
      <c r="AL72" s="359">
        <f>(102*'Emissions Factors'!$E$10*'Calcs - Power'!$G71+'Emissions Factors'!$E$11*('Calcs - Power'!H71+'Calcs - Power'!I71+'Calcs - Power'!J71+'Calcs - Power'!K71))</f>
        <v>2919.7613788932113</v>
      </c>
      <c r="AM72" s="366">
        <f>(102*'Emissions Factors'!$E$10*'Calcs - Power'!$B71+'Emissions Factors'!$E$11*('Calcs - Power'!C71+'Calcs - Power'!D71+'Calcs - Power'!E71+'Calcs - Power'!F71))</f>
        <v>99683.434288251578</v>
      </c>
      <c r="AN72" s="359">
        <f>(102*'Emissions Factors'!$D$10*'Calcs - Power'!$G71+'Emissions Factors'!$D$11*('Calcs - Power'!$H71+'Calcs - Power'!$I71+'Calcs - Power'!$J71+'Calcs - Power'!$K71))</f>
        <v>2743.0505397638781</v>
      </c>
      <c r="AO72" s="366">
        <f>(102*'Emissions Factors'!$D$10*'Calcs - Power'!$B71+'Emissions Factors'!$D$11*('Calcs - Power'!$C71+'Calcs - Power'!$D71+'Calcs - Power'!$E71+'Calcs - Power'!$F71))</f>
        <v>102608.17792656613</v>
      </c>
      <c r="AP72" s="367">
        <f>(102*'Emissions Factors'!$E$10*'Calcs - Power'!$G71+'Emissions Factors'!$E$11*('Calcs - Power'!H71+'Calcs - Power'!I71+'Calcs - Power'!J71+'Calcs - Power'!K71))</f>
        <v>2919.7613788932113</v>
      </c>
      <c r="AQ72" s="366">
        <f>(102*'Emissions Factors'!$E$10*'Calcs - Power'!$B71+'Emissions Factors'!$E$11*('Calcs - Power'!C71+'Calcs - Power'!D71+'Calcs - Power'!E71+'Calcs - Power'!F71))</f>
        <v>99683.434288251578</v>
      </c>
      <c r="AS72" s="357"/>
      <c r="AT72" s="357"/>
      <c r="AU72" s="357"/>
      <c r="AV72" s="357"/>
      <c r="AX72" s="358">
        <f t="shared" si="13"/>
        <v>60</v>
      </c>
      <c r="AY72" s="359">
        <f>(('Methane Leakage'!$G$6/'Methane Leakage'!$G$5)*102*'Emissions Factors'!$F$10*'Calcs - Power'!$G71+'Emissions Factors'!$F$11*('Calcs - Power'!$H71+'Calcs - Power'!$I71+'Calcs - Power'!$J71+'Calcs - Power'!$K71))</f>
        <v>3649962.0852919826</v>
      </c>
      <c r="AZ72" s="366">
        <f>(('Methane Leakage'!$G$6/'Methane Leakage'!$G$5)*102*'Emissions Factors'!$F$10*'Calcs - Power'!$B71+'Emissions Factors'!$F$11*('Calcs - Power'!$C71+'Calcs - Power'!$D71+'Calcs - Power'!$E71+'Calcs - Power'!$F71))</f>
        <v>133194040.30303112</v>
      </c>
      <c r="BA72" s="359">
        <f>(102*'Emissions Factors'!$G$10*'Calcs - Power'!$G71+'Emissions Factors'!$G$11*('Calcs - Power'!H71+'Calcs - Power'!I71+'Calcs - Power'!J71+'Calcs - Power'!K71))</f>
        <v>3359832.6861803625</v>
      </c>
      <c r="BB72" s="366">
        <f>(102*'Emissions Factors'!$G$10*'Calcs - Power'!$B71+'Emissions Factors'!$G$11*('Calcs - Power'!C71+'Calcs - Power'!D71+'Calcs - Power'!E71+'Calcs - Power'!F71))</f>
        <v>114317547.01754111</v>
      </c>
      <c r="BC72" s="359">
        <f>(102*'Emissions Factors'!$F$10*'Calcs - Power'!$G71+'Emissions Factors'!$F$11*('Calcs - Power'!$H71+'Calcs - Power'!$I71+'Calcs - Power'!$J71+'Calcs - Power'!$K71))</f>
        <v>3649962.0852919826</v>
      </c>
      <c r="BD72" s="366">
        <f>(102*'Emissions Factors'!$F$10*'Calcs - Power'!$B71+'Emissions Factors'!$F$11*('Calcs - Power'!$C71+'Calcs - Power'!$D71+'Calcs - Power'!$E71+'Calcs - Power'!$F71))</f>
        <v>133194040.30303112</v>
      </c>
      <c r="BE72" s="359">
        <f>(102*'Emissions Factors'!$G$10*'Calcs - Power'!$G71+'Emissions Factors'!$G$11*('Calcs - Power'!H71+'Calcs - Power'!I71+'Calcs - Power'!J71+'Calcs - Power'!K71))</f>
        <v>3359832.6861803625</v>
      </c>
      <c r="BF72" s="366">
        <f>(102*'Emissions Factors'!$G$10*'Calcs - Power'!$B71+'Emissions Factors'!$G$11*('Calcs - Power'!C71+'Calcs - Power'!D71+'Calcs - Power'!E71+'Calcs - Power'!F71))</f>
        <v>114317547.01754111</v>
      </c>
    </row>
    <row r="73" spans="1:58" x14ac:dyDescent="0.3">
      <c r="A73" s="351">
        <f t="shared" si="10"/>
        <v>61</v>
      </c>
      <c r="B73" s="352">
        <f t="shared" si="14"/>
        <v>0.99999999999999978</v>
      </c>
      <c r="C73" s="363">
        <f t="shared" si="15"/>
        <v>0.99999999999999978</v>
      </c>
      <c r="D73" s="352">
        <f t="shared" si="16"/>
        <v>1</v>
      </c>
      <c r="E73" s="364">
        <f t="shared" si="17"/>
        <v>1</v>
      </c>
      <c r="F73" s="364">
        <f t="shared" si="18"/>
        <v>1</v>
      </c>
      <c r="G73" s="365">
        <f t="shared" si="19"/>
        <v>1</v>
      </c>
      <c r="P73" s="358">
        <f t="shared" si="11"/>
        <v>61</v>
      </c>
      <c r="Q73" s="359">
        <f>(('Methane Leakage'!$C$6/'Methane Leakage'!$C$5)*102*'Emissions Factors'!$C$38*'Calcs - Power'!$G72+'Emissions Factors'!$C$37*('Calcs - Power'!$H72+'Calcs - Power'!$I72+'Calcs - Power'!$J72+'Calcs - Power'!$K72))</f>
        <v>19599.736044063135</v>
      </c>
      <c r="R73" s="366">
        <f>(('Methane Leakage'!$C$6/'Methane Leakage'!$C$5)*102*'Emissions Factors'!$C$38*'Calcs - Power'!$B72+'Emissions Factors'!$C$37*('Calcs - Power'!$C72+'Calcs - Power'!$D72+'Calcs - Power'!$E72+'Calcs - Power'!$F72))</f>
        <v>728578.21601055365</v>
      </c>
      <c r="S73" s="359">
        <f>(('Methane Leakage'!$C$6/'Methane Leakage'!$C$5)*102*'Emissions Factors'!$D$38*'Calcs - Power'!$G72+'Emissions Factors'!$D$37*('Calcs - Power'!$H72+'Calcs - Power'!$I72+'Calcs - Power'!$J72+'Calcs - Power'!$K72))</f>
        <v>19599.736044063135</v>
      </c>
      <c r="T73" s="366">
        <f>(('Methane Leakage'!$C$6/'Methane Leakage'!$C$5)*102*'Emissions Factors'!$D$38*'Calcs - Power'!$B72+'Emissions Factors'!$D$37*('Calcs - Power'!$C72+'Calcs - Power'!$D72+'Calcs - Power'!$E72+'Calcs - Power'!$F72))</f>
        <v>728578.21601055365</v>
      </c>
      <c r="U73" s="361">
        <f>(102*'Emissions Factors'!$C$36*'Calcs - Power'!$G72+'Emissions Factors'!$C$35*('Calcs - Power'!$H72+'Calcs - Power'!$I72+'Calcs - Power'!$J72+'Calcs - Power'!$K72))</f>
        <v>32964.983370738199</v>
      </c>
      <c r="V73" s="366">
        <f>(102*'Emissions Factors'!$C$36*'Calcs - Power'!$B72+'Emissions Factors'!$C$35*('Calcs - Power'!$C72+'Calcs - Power'!$D72+'Calcs - Power'!$E72+'Calcs - Power'!$F72))</f>
        <v>1137229.0217334493</v>
      </c>
      <c r="W73" s="359">
        <f>(102*'Emissions Factors'!$D$36*'Calcs - Power'!$G72+'Emissions Factors'!$D$35*('Calcs - Power'!$H72+'Calcs - Power'!$I72+'Calcs - Power'!$J72+'Calcs - Power'!$K72))</f>
        <v>32964.983370738199</v>
      </c>
      <c r="X73" s="366">
        <f>(102*'Emissions Factors'!$D$36*'Calcs - Power'!$B72+'Emissions Factors'!$D$35*('Calcs - Power'!$C72+'Calcs - Power'!$D72+'Calcs - Power'!$E72+'Calcs - Power'!$F72))</f>
        <v>1137229.0217334493</v>
      </c>
      <c r="Y73" s="359">
        <f>(102*'Emissions Factors'!$C$38*'Calcs - Power'!$G72+'Emissions Factors'!$C$37*('Calcs - Power'!$H72+'Calcs - Power'!$I72+'Calcs - Power'!$J72+'Calcs - Power'!$K72))</f>
        <v>19599.736044063135</v>
      </c>
      <c r="Z73" s="366">
        <f>(102*'Emissions Factors'!$C$38*'Calcs - Power'!$B72+'Emissions Factors'!$C$37*('Calcs - Power'!$C72+'Calcs - Power'!$D72+'Calcs - Power'!$E72+'Calcs - Power'!$F72))</f>
        <v>728578.21601055365</v>
      </c>
      <c r="AA73" s="359">
        <f>(102*'Emissions Factors'!$C$36*'Calcs - Power'!$G72+'Emissions Factors'!$C$35*('Calcs - Power'!$H72+'Calcs - Power'!$I72+'Calcs - Power'!$J72+'Calcs - Power'!$K72))</f>
        <v>32964.983370738199</v>
      </c>
      <c r="AB73" s="366">
        <f>(102*'Emissions Factors'!$C$36*'Calcs - Power'!$B72+'Emissions Factors'!$C$35*('Calcs - Power'!$C72+'Calcs - Power'!$D72+'Calcs - Power'!$E72+'Calcs - Power'!$F72))</f>
        <v>1137229.0217334493</v>
      </c>
      <c r="AI73" s="358">
        <f t="shared" si="12"/>
        <v>61</v>
      </c>
      <c r="AJ73" s="359">
        <f>(('Methane Leakage'!$G$6/'Methane Leakage'!$G$5)*102*'Emissions Factors'!$D$10*'Calcs - Power'!$G72+'Emissions Factors'!$D$11*('Calcs - Power'!$H72+'Calcs - Power'!$I72+'Calcs - Power'!$J72+'Calcs - Power'!$K72))</f>
        <v>2769.1937806935903</v>
      </c>
      <c r="AK73" s="366">
        <f>(('Methane Leakage'!$G$6/'Methane Leakage'!$G$5)*102*'Emissions Factors'!$D$10*'Calcs - Power'!$B72+'Emissions Factors'!$D$11*('Calcs - Power'!$C72+'Calcs - Power'!$D72+'Calcs - Power'!$E72+'Calcs - Power'!$F72))</f>
        <v>105364.31191263773</v>
      </c>
      <c r="AL73" s="359">
        <f>(102*'Emissions Factors'!$E$10*'Calcs - Power'!$G72+'Emissions Factors'!$E$11*('Calcs - Power'!H72+'Calcs - Power'!I72+'Calcs - Power'!J72+'Calcs - Power'!K72))</f>
        <v>2955.37965848772</v>
      </c>
      <c r="AM73" s="366">
        <f>(102*'Emissions Factors'!$E$10*'Calcs - Power'!$B72+'Emissions Factors'!$E$11*('Calcs - Power'!C72+'Calcs - Power'!D72+'Calcs - Power'!E72+'Calcs - Power'!F72))</f>
        <v>102621.01786704124</v>
      </c>
      <c r="AN73" s="359">
        <f>(102*'Emissions Factors'!$D$10*'Calcs - Power'!$G72+'Emissions Factors'!$D$11*('Calcs - Power'!$H72+'Calcs - Power'!$I72+'Calcs - Power'!$J72+'Calcs - Power'!$K72))</f>
        <v>2769.1937806935903</v>
      </c>
      <c r="AO73" s="366">
        <f>(102*'Emissions Factors'!$D$10*'Calcs - Power'!$B72+'Emissions Factors'!$D$11*('Calcs - Power'!$C72+'Calcs - Power'!$D72+'Calcs - Power'!$E72+'Calcs - Power'!$F72))</f>
        <v>105364.31191263773</v>
      </c>
      <c r="AP73" s="367">
        <f>(102*'Emissions Factors'!$E$10*'Calcs - Power'!$G72+'Emissions Factors'!$E$11*('Calcs - Power'!H72+'Calcs - Power'!I72+'Calcs - Power'!J72+'Calcs - Power'!K72))</f>
        <v>2955.37965848772</v>
      </c>
      <c r="AQ73" s="366">
        <f>(102*'Emissions Factors'!$E$10*'Calcs - Power'!$B72+'Emissions Factors'!$E$11*('Calcs - Power'!C72+'Calcs - Power'!D72+'Calcs - Power'!E72+'Calcs - Power'!F72))</f>
        <v>102621.01786704124</v>
      </c>
      <c r="AS73" s="357"/>
      <c r="AT73" s="357"/>
      <c r="AU73" s="357"/>
      <c r="AV73" s="357"/>
      <c r="AX73" s="358">
        <f t="shared" si="13"/>
        <v>61</v>
      </c>
      <c r="AY73" s="359">
        <f>(('Methane Leakage'!$G$6/'Methane Leakage'!$G$5)*102*'Emissions Factors'!$F$10*'Calcs - Power'!$G72+'Emissions Factors'!$F$11*('Calcs - Power'!$H72+'Calcs - Power'!$I72+'Calcs - Power'!$J72+'Calcs - Power'!$K72))</f>
        <v>3687476.7856380907</v>
      </c>
      <c r="AZ73" s="366">
        <f>(('Methane Leakage'!$G$6/'Methane Leakage'!$G$5)*102*'Emissions Factors'!$F$10*'Calcs - Power'!$B72+'Emissions Factors'!$F$11*('Calcs - Power'!$C72+'Calcs - Power'!$D72+'Calcs - Power'!$E72+'Calcs - Power'!$F72))</f>
        <v>136862775.63963351</v>
      </c>
      <c r="BA73" s="359">
        <f>(102*'Emissions Factors'!$G$10*'Calcs - Power'!$G72+'Emissions Factors'!$G$11*('Calcs - Power'!H72+'Calcs - Power'!I72+'Calcs - Power'!J72+'Calcs - Power'!K72))</f>
        <v>3401138.3555227723</v>
      </c>
      <c r="BB73" s="366">
        <f>(102*'Emissions Factors'!$G$10*'Calcs - Power'!$B72+'Emissions Factors'!$G$11*('Calcs - Power'!C72+'Calcs - Power'!D72+'Calcs - Power'!E72+'Calcs - Power'!F72))</f>
        <v>117698047.58627184</v>
      </c>
      <c r="BC73" s="359">
        <f>(102*'Emissions Factors'!$F$10*'Calcs - Power'!$G72+'Emissions Factors'!$F$11*('Calcs - Power'!$H72+'Calcs - Power'!$I72+'Calcs - Power'!$J72+'Calcs - Power'!$K72))</f>
        <v>3687476.7856380907</v>
      </c>
      <c r="BD73" s="366">
        <f>(102*'Emissions Factors'!$F$10*'Calcs - Power'!$B72+'Emissions Factors'!$F$11*('Calcs - Power'!$C72+'Calcs - Power'!$D72+'Calcs - Power'!$E72+'Calcs - Power'!$F72))</f>
        <v>136862775.63963351</v>
      </c>
      <c r="BE73" s="359">
        <f>(102*'Emissions Factors'!$G$10*'Calcs - Power'!$G72+'Emissions Factors'!$G$11*('Calcs - Power'!H72+'Calcs - Power'!I72+'Calcs - Power'!J72+'Calcs - Power'!K72))</f>
        <v>3401138.3555227723</v>
      </c>
      <c r="BF73" s="366">
        <f>(102*'Emissions Factors'!$G$10*'Calcs - Power'!$B72+'Emissions Factors'!$G$11*('Calcs - Power'!C72+'Calcs - Power'!D72+'Calcs - Power'!E72+'Calcs - Power'!F72))</f>
        <v>117698047.58627184</v>
      </c>
    </row>
    <row r="74" spans="1:58" x14ac:dyDescent="0.3">
      <c r="A74" s="351">
        <f t="shared" si="10"/>
        <v>62</v>
      </c>
      <c r="B74" s="352">
        <f t="shared" si="14"/>
        <v>1</v>
      </c>
      <c r="C74" s="363">
        <f t="shared" si="15"/>
        <v>0.99999999999999989</v>
      </c>
      <c r="D74" s="352">
        <f t="shared" si="16"/>
        <v>1</v>
      </c>
      <c r="E74" s="364">
        <f t="shared" si="17"/>
        <v>1</v>
      </c>
      <c r="F74" s="364">
        <f t="shared" si="18"/>
        <v>1</v>
      </c>
      <c r="G74" s="365">
        <f t="shared" si="19"/>
        <v>1</v>
      </c>
      <c r="P74" s="358">
        <f t="shared" si="11"/>
        <v>62</v>
      </c>
      <c r="Q74" s="359">
        <f>(('Methane Leakage'!$C$6/'Methane Leakage'!$C$5)*102*'Emissions Factors'!$C$38*'Calcs - Power'!$G73+'Emissions Factors'!$C$37*('Calcs - Power'!$H73+'Calcs - Power'!$I73+'Calcs - Power'!$J73+'Calcs - Power'!$K73))</f>
        <v>19797.256802173466</v>
      </c>
      <c r="R74" s="366">
        <f>(('Methane Leakage'!$C$6/'Methane Leakage'!$C$5)*102*'Emissions Factors'!$C$38*'Calcs - Power'!$B73+'Emissions Factors'!$C$37*('Calcs - Power'!$C73+'Calcs - Power'!$D73+'Calcs - Power'!$E73+'Calcs - Power'!$F73))</f>
        <v>748276.7940101109</v>
      </c>
      <c r="S74" s="359">
        <f>(('Methane Leakage'!$C$6/'Methane Leakage'!$C$5)*102*'Emissions Factors'!$D$38*'Calcs - Power'!$G73+'Emissions Factors'!$D$37*('Calcs - Power'!$H73+'Calcs - Power'!$I73+'Calcs - Power'!$J73+'Calcs - Power'!$K73))</f>
        <v>19797.256802173466</v>
      </c>
      <c r="T74" s="366">
        <f>(('Methane Leakage'!$C$6/'Methane Leakage'!$C$5)*102*'Emissions Factors'!$D$38*'Calcs - Power'!$B73+'Emissions Factors'!$D$37*('Calcs - Power'!$C73+'Calcs - Power'!$D73+'Calcs - Power'!$E73+'Calcs - Power'!$F73))</f>
        <v>748276.7940101109</v>
      </c>
      <c r="U74" s="361">
        <f>(102*'Emissions Factors'!$C$36*'Calcs - Power'!$G73+'Emissions Factors'!$C$35*('Calcs - Power'!$H73+'Calcs - Power'!$I73+'Calcs - Power'!$J73+'Calcs - Power'!$K73))</f>
        <v>33366.382587970977</v>
      </c>
      <c r="V74" s="366">
        <f>(102*'Emissions Factors'!$C$36*'Calcs - Power'!$B73+'Emissions Factors'!$C$35*('Calcs - Power'!$C73+'Calcs - Power'!$D73+'Calcs - Power'!$E73+'Calcs - Power'!$F73))</f>
        <v>1170394.8469654201</v>
      </c>
      <c r="W74" s="359">
        <f>(102*'Emissions Factors'!$D$36*'Calcs - Power'!$G73+'Emissions Factors'!$D$35*('Calcs - Power'!$H73+'Calcs - Power'!$I73+'Calcs - Power'!$J73+'Calcs - Power'!$K73))</f>
        <v>33366.382587970977</v>
      </c>
      <c r="X74" s="366">
        <f>(102*'Emissions Factors'!$D$36*'Calcs - Power'!$B73+'Emissions Factors'!$D$35*('Calcs - Power'!$C73+'Calcs - Power'!$D73+'Calcs - Power'!$E73+'Calcs - Power'!$F73))</f>
        <v>1170394.8469654201</v>
      </c>
      <c r="Y74" s="359">
        <f>(102*'Emissions Factors'!$C$38*'Calcs - Power'!$G73+'Emissions Factors'!$C$37*('Calcs - Power'!$H73+'Calcs - Power'!$I73+'Calcs - Power'!$J73+'Calcs - Power'!$K73))</f>
        <v>19797.256802173466</v>
      </c>
      <c r="Z74" s="366">
        <f>(102*'Emissions Factors'!$C$38*'Calcs - Power'!$B73+'Emissions Factors'!$C$37*('Calcs - Power'!$C73+'Calcs - Power'!$D73+'Calcs - Power'!$E73+'Calcs - Power'!$F73))</f>
        <v>748276.7940101109</v>
      </c>
      <c r="AA74" s="359">
        <f>(102*'Emissions Factors'!$C$36*'Calcs - Power'!$G73+'Emissions Factors'!$C$35*('Calcs - Power'!$H73+'Calcs - Power'!$I73+'Calcs - Power'!$J73+'Calcs - Power'!$K73))</f>
        <v>33366.382587970977</v>
      </c>
      <c r="AB74" s="366">
        <f>(102*'Emissions Factors'!$C$36*'Calcs - Power'!$B73+'Emissions Factors'!$C$35*('Calcs - Power'!$C73+'Calcs - Power'!$D73+'Calcs - Power'!$E73+'Calcs - Power'!$F73))</f>
        <v>1170394.8469654201</v>
      </c>
      <c r="AI74" s="358">
        <f t="shared" si="12"/>
        <v>62</v>
      </c>
      <c r="AJ74" s="359">
        <f>(('Methane Leakage'!$G$6/'Methane Leakage'!$G$5)*102*'Emissions Factors'!$D$10*'Calcs - Power'!$G73+'Emissions Factors'!$D$11*('Calcs - Power'!$H73+'Calcs - Power'!$I73+'Calcs - Power'!$J73+'Calcs - Power'!$K73))</f>
        <v>2795.1977683422438</v>
      </c>
      <c r="AK74" s="366">
        <f>(('Methane Leakage'!$G$6/'Methane Leakage'!$G$5)*102*'Emissions Factors'!$D$10*'Calcs - Power'!$B73+'Emissions Factors'!$D$11*('Calcs - Power'!$C73+'Calcs - Power'!$D73+'Calcs - Power'!$E73+'Calcs - Power'!$F73))</f>
        <v>108146.51907399937</v>
      </c>
      <c r="AL74" s="359">
        <f>(102*'Emissions Factors'!$E$10*'Calcs - Power'!$G73+'Emissions Factors'!$E$11*('Calcs - Power'!H73+'Calcs - Power'!I73+'Calcs - Power'!J73+'Calcs - Power'!K73))</f>
        <v>2990.8433009622968</v>
      </c>
      <c r="AM74" s="366">
        <f>(102*'Emissions Factors'!$E$10*'Calcs - Power'!$B73+'Emissions Factors'!$E$11*('Calcs - Power'!C73+'Calcs - Power'!D73+'Calcs - Power'!E73+'Calcs - Power'!F73))</f>
        <v>105594.14206187507</v>
      </c>
      <c r="AN74" s="359">
        <f>(102*'Emissions Factors'!$D$10*'Calcs - Power'!$G73+'Emissions Factors'!$D$11*('Calcs - Power'!$H73+'Calcs - Power'!$I73+'Calcs - Power'!$J73+'Calcs - Power'!$K73))</f>
        <v>2795.1977683422438</v>
      </c>
      <c r="AO74" s="366">
        <f>(102*'Emissions Factors'!$D$10*'Calcs - Power'!$B73+'Emissions Factors'!$D$11*('Calcs - Power'!$C73+'Calcs - Power'!$D73+'Calcs - Power'!$E73+'Calcs - Power'!$F73))</f>
        <v>108146.51907399937</v>
      </c>
      <c r="AP74" s="367">
        <f>(102*'Emissions Factors'!$E$10*'Calcs - Power'!$G73+'Emissions Factors'!$E$11*('Calcs - Power'!H73+'Calcs - Power'!I73+'Calcs - Power'!J73+'Calcs - Power'!K73))</f>
        <v>2990.8433009622968</v>
      </c>
      <c r="AQ74" s="366">
        <f>(102*'Emissions Factors'!$E$10*'Calcs - Power'!$B73+'Emissions Factors'!$E$11*('Calcs - Power'!C73+'Calcs - Power'!D73+'Calcs - Power'!E73+'Calcs - Power'!F73))</f>
        <v>105594.14206187507</v>
      </c>
      <c r="AS74" s="357"/>
      <c r="AT74" s="357"/>
      <c r="AU74" s="357"/>
      <c r="AV74" s="357"/>
      <c r="AX74" s="358">
        <f t="shared" si="13"/>
        <v>62</v>
      </c>
      <c r="AY74" s="359">
        <f>(('Methane Leakage'!$G$6/'Methane Leakage'!$G$5)*102*'Emissions Factors'!$F$10*'Calcs - Power'!$G73+'Emissions Factors'!$F$11*('Calcs - Power'!$H73+'Calcs - Power'!$I73+'Calcs - Power'!$J73+'Calcs - Power'!$K73))</f>
        <v>3724803.9470947357</v>
      </c>
      <c r="AZ74" s="366">
        <f>(('Methane Leakage'!$G$6/'Methane Leakage'!$G$5)*102*'Emissions Factors'!$F$10*'Calcs - Power'!$B73+'Emissions Factors'!$F$11*('Calcs - Power'!$C73+'Calcs - Power'!$D73+'Calcs - Power'!$E73+'Calcs - Power'!$F73))</f>
        <v>140568931.36581486</v>
      </c>
      <c r="BA74" s="359">
        <f>(102*'Emissions Factors'!$G$10*'Calcs - Power'!$G73+'Emissions Factors'!$G$11*('Calcs - Power'!H73+'Calcs - Power'!I73+'Calcs - Power'!J73+'Calcs - Power'!K73))</f>
        <v>3442265.8180456888</v>
      </c>
      <c r="BB74" s="366">
        <f>(102*'Emissions Factors'!$G$10*'Calcs - Power'!$B73+'Emissions Factors'!$G$11*('Calcs - Power'!C73+'Calcs - Power'!D73+'Calcs - Power'!E73+'Calcs - Power'!F73))</f>
        <v>121119764.32895362</v>
      </c>
      <c r="BC74" s="359">
        <f>(102*'Emissions Factors'!$F$10*'Calcs - Power'!$G73+'Emissions Factors'!$F$11*('Calcs - Power'!$H73+'Calcs - Power'!$I73+'Calcs - Power'!$J73+'Calcs - Power'!$K73))</f>
        <v>3724803.9470947357</v>
      </c>
      <c r="BD74" s="366">
        <f>(102*'Emissions Factors'!$F$10*'Calcs - Power'!$B73+'Emissions Factors'!$F$11*('Calcs - Power'!$C73+'Calcs - Power'!$D73+'Calcs - Power'!$E73+'Calcs - Power'!$F73))</f>
        <v>140568931.36581486</v>
      </c>
      <c r="BE74" s="359">
        <f>(102*'Emissions Factors'!$G$10*'Calcs - Power'!$G73+'Emissions Factors'!$G$11*('Calcs - Power'!H73+'Calcs - Power'!I73+'Calcs - Power'!J73+'Calcs - Power'!K73))</f>
        <v>3442265.8180456888</v>
      </c>
      <c r="BF74" s="366">
        <f>(102*'Emissions Factors'!$G$10*'Calcs - Power'!$B73+'Emissions Factors'!$G$11*('Calcs - Power'!C73+'Calcs - Power'!D73+'Calcs - Power'!E73+'Calcs - Power'!F73))</f>
        <v>121119764.32895362</v>
      </c>
    </row>
    <row r="75" spans="1:58" x14ac:dyDescent="0.3">
      <c r="A75" s="351">
        <f t="shared" si="10"/>
        <v>63</v>
      </c>
      <c r="B75" s="352">
        <f t="shared" si="14"/>
        <v>0.99999999999999978</v>
      </c>
      <c r="C75" s="363">
        <f t="shared" si="15"/>
        <v>1</v>
      </c>
      <c r="D75" s="352">
        <f t="shared" si="16"/>
        <v>1</v>
      </c>
      <c r="E75" s="364">
        <f t="shared" si="17"/>
        <v>1</v>
      </c>
      <c r="F75" s="364">
        <f t="shared" si="18"/>
        <v>1</v>
      </c>
      <c r="G75" s="365">
        <f t="shared" si="19"/>
        <v>1</v>
      </c>
      <c r="P75" s="358">
        <f t="shared" si="11"/>
        <v>63</v>
      </c>
      <c r="Q75" s="359">
        <f>(('Methane Leakage'!$C$6/'Methane Leakage'!$C$5)*102*'Emissions Factors'!$C$38*'Calcs - Power'!$G74+'Emissions Factors'!$C$37*('Calcs - Power'!$H74+'Calcs - Power'!$I74+'Calcs - Power'!$J74+'Calcs - Power'!$K74))</f>
        <v>19993.815083829082</v>
      </c>
      <c r="R75" s="366">
        <f>(('Methane Leakage'!$C$6/'Methane Leakage'!$C$5)*102*'Emissions Factors'!$C$38*'Calcs - Power'!$B74+'Emissions Factors'!$C$37*('Calcs - Power'!$C74+'Calcs - Power'!$D74+'Calcs - Power'!$E74+'Calcs - Power'!$F74))</f>
        <v>768172.40881175781</v>
      </c>
      <c r="S75" s="359">
        <f>(('Methane Leakage'!$C$6/'Methane Leakage'!$C$5)*102*'Emissions Factors'!$D$38*'Calcs - Power'!$G74+'Emissions Factors'!$D$37*('Calcs - Power'!$H74+'Calcs - Power'!$I74+'Calcs - Power'!$J74+'Calcs - Power'!$K74))</f>
        <v>19993.815083829082</v>
      </c>
      <c r="T75" s="366">
        <f>(('Methane Leakage'!$C$6/'Methane Leakage'!$C$5)*102*'Emissions Factors'!$D$38*'Calcs - Power'!$B74+'Emissions Factors'!$D$37*('Calcs - Power'!$C74+'Calcs - Power'!$D74+'Calcs - Power'!$E74+'Calcs - Power'!$F74))</f>
        <v>768172.40881175781</v>
      </c>
      <c r="U75" s="361">
        <f>(102*'Emissions Factors'!$C$36*'Calcs - Power'!$G74+'Emissions Factors'!$C$35*('Calcs - Power'!$H74+'Calcs - Power'!$I74+'Calcs - Power'!$J74+'Calcs - Power'!$K74))</f>
        <v>33766.096351198546</v>
      </c>
      <c r="V75" s="366">
        <f>(102*'Emissions Factors'!$C$36*'Calcs - Power'!$B74+'Emissions Factors'!$C$35*('Calcs - Power'!$C74+'Calcs - Power'!$D74+'Calcs - Power'!$E74+'Calcs - Power'!$F74))</f>
        <v>1203961.2251149812</v>
      </c>
      <c r="W75" s="359">
        <f>(102*'Emissions Factors'!$D$36*'Calcs - Power'!$G74+'Emissions Factors'!$D$35*('Calcs - Power'!$H74+'Calcs - Power'!$I74+'Calcs - Power'!$J74+'Calcs - Power'!$K74))</f>
        <v>33766.096351198546</v>
      </c>
      <c r="X75" s="366">
        <f>(102*'Emissions Factors'!$D$36*'Calcs - Power'!$B74+'Emissions Factors'!$D$35*('Calcs - Power'!$C74+'Calcs - Power'!$D74+'Calcs - Power'!$E74+'Calcs - Power'!$F74))</f>
        <v>1203961.2251149812</v>
      </c>
      <c r="Y75" s="359">
        <f>(102*'Emissions Factors'!$C$38*'Calcs - Power'!$G74+'Emissions Factors'!$C$37*('Calcs - Power'!$H74+'Calcs - Power'!$I74+'Calcs - Power'!$J74+'Calcs - Power'!$K74))</f>
        <v>19993.815083829082</v>
      </c>
      <c r="Z75" s="366">
        <f>(102*'Emissions Factors'!$C$38*'Calcs - Power'!$B74+'Emissions Factors'!$C$37*('Calcs - Power'!$C74+'Calcs - Power'!$D74+'Calcs - Power'!$E74+'Calcs - Power'!$F74))</f>
        <v>768172.40881175781</v>
      </c>
      <c r="AA75" s="359">
        <f>(102*'Emissions Factors'!$C$36*'Calcs - Power'!$G74+'Emissions Factors'!$C$35*('Calcs - Power'!$H74+'Calcs - Power'!$I74+'Calcs - Power'!$J74+'Calcs - Power'!$K74))</f>
        <v>33766.096351198546</v>
      </c>
      <c r="AB75" s="366">
        <f>(102*'Emissions Factors'!$C$36*'Calcs - Power'!$B74+'Emissions Factors'!$C$35*('Calcs - Power'!$C74+'Calcs - Power'!$D74+'Calcs - Power'!$E74+'Calcs - Power'!$F74))</f>
        <v>1203961.2251149812</v>
      </c>
      <c r="AI75" s="358">
        <f t="shared" si="12"/>
        <v>63</v>
      </c>
      <c r="AJ75" s="359">
        <f>(('Methane Leakage'!$G$6/'Methane Leakage'!$G$5)*102*'Emissions Factors'!$D$10*'Calcs - Power'!$G74+'Emissions Factors'!$D$11*('Calcs - Power'!$H74+'Calcs - Power'!$I74+'Calcs - Power'!$J74+'Calcs - Power'!$K74))</f>
        <v>2821.0676038422303</v>
      </c>
      <c r="AK75" s="366">
        <f>(('Methane Leakage'!$G$6/'Methane Leakage'!$G$5)*102*'Emissions Factors'!$D$10*'Calcs - Power'!$B74+'Emissions Factors'!$D$11*('Calcs - Power'!$C74+'Calcs - Power'!$D74+'Calcs - Power'!$E74+'Calcs - Power'!$F74))</f>
        <v>110954.6627354807</v>
      </c>
      <c r="AL75" s="359">
        <f>(102*'Emissions Factors'!$E$10*'Calcs - Power'!$G74+'Emissions Factors'!$E$11*('Calcs - Power'!H74+'Calcs - Power'!I74+'Calcs - Power'!J74+'Calcs - Power'!K74))</f>
        <v>3026.156342475997</v>
      </c>
      <c r="AM75" s="366">
        <f>(102*'Emissions Factors'!$E$10*'Calcs - Power'!$B74+'Emissions Factors'!$E$11*('Calcs - Power'!C74+'Calcs - Power'!D74+'Calcs - Power'!E74+'Calcs - Power'!F74))</f>
        <v>108602.65427086623</v>
      </c>
      <c r="AN75" s="359">
        <f>(102*'Emissions Factors'!$D$10*'Calcs - Power'!$G74+'Emissions Factors'!$D$11*('Calcs - Power'!$H74+'Calcs - Power'!$I74+'Calcs - Power'!$J74+'Calcs - Power'!$K74))</f>
        <v>2821.0676038422303</v>
      </c>
      <c r="AO75" s="366">
        <f>(102*'Emissions Factors'!$D$10*'Calcs - Power'!$B74+'Emissions Factors'!$D$11*('Calcs - Power'!$C74+'Calcs - Power'!$D74+'Calcs - Power'!$E74+'Calcs - Power'!$F74))</f>
        <v>110954.6627354807</v>
      </c>
      <c r="AP75" s="367">
        <f>(102*'Emissions Factors'!$E$10*'Calcs - Power'!$G74+'Emissions Factors'!$E$11*('Calcs - Power'!H74+'Calcs - Power'!I74+'Calcs - Power'!J74+'Calcs - Power'!K74))</f>
        <v>3026.156342475997</v>
      </c>
      <c r="AQ75" s="366">
        <f>(102*'Emissions Factors'!$E$10*'Calcs - Power'!$B74+'Emissions Factors'!$E$11*('Calcs - Power'!C74+'Calcs - Power'!D74+'Calcs - Power'!E74+'Calcs - Power'!F74))</f>
        <v>108602.65427086623</v>
      </c>
      <c r="AS75" s="357"/>
      <c r="AT75" s="357"/>
      <c r="AU75" s="357"/>
      <c r="AV75" s="357"/>
      <c r="AX75" s="358">
        <f t="shared" si="13"/>
        <v>63</v>
      </c>
      <c r="AY75" s="359">
        <f>(('Methane Leakage'!$G$6/'Methane Leakage'!$G$5)*102*'Emissions Factors'!$F$10*'Calcs - Power'!$G74+'Emissions Factors'!$F$11*('Calcs - Power'!$H74+'Calcs - Power'!$I74+'Calcs - Power'!$J74+'Calcs - Power'!$K74))</f>
        <v>3761949.8693761462</v>
      </c>
      <c r="AZ75" s="366">
        <f>(('Methane Leakage'!$G$6/'Methane Leakage'!$G$5)*102*'Emissions Factors'!$F$10*'Calcs - Power'!$B74+'Emissions Factors'!$F$11*('Calcs - Power'!$C74+'Calcs - Power'!$D74+'Calcs - Power'!$E74+'Calcs - Power'!$F74))</f>
        <v>144312323.12493449</v>
      </c>
      <c r="BA75" s="359">
        <f>(102*'Emissions Factors'!$G$10*'Calcs - Power'!$G74+'Emissions Factors'!$G$11*('Calcs - Power'!H74+'Calcs - Power'!I74+'Calcs - Power'!J74+'Calcs - Power'!K74))</f>
        <v>3483219.6611936158</v>
      </c>
      <c r="BB75" s="366">
        <f>(102*'Emissions Factors'!$G$10*'Calcs - Power'!$B74+'Emissions Factors'!$G$11*('Calcs - Power'!C74+'Calcs - Power'!D74+'Calcs - Power'!E74+'Calcs - Power'!F74))</f>
        <v>124582521.3517302</v>
      </c>
      <c r="BC75" s="359">
        <f>(102*'Emissions Factors'!$F$10*'Calcs - Power'!$G74+'Emissions Factors'!$F$11*('Calcs - Power'!$H74+'Calcs - Power'!$I74+'Calcs - Power'!$J74+'Calcs - Power'!$K74))</f>
        <v>3761949.8693761462</v>
      </c>
      <c r="BD75" s="366">
        <f>(102*'Emissions Factors'!$F$10*'Calcs - Power'!$B74+'Emissions Factors'!$F$11*('Calcs - Power'!$C74+'Calcs - Power'!$D74+'Calcs - Power'!$E74+'Calcs - Power'!$F74))</f>
        <v>144312323.12493449</v>
      </c>
      <c r="BE75" s="359">
        <f>(102*'Emissions Factors'!$G$10*'Calcs - Power'!$G74+'Emissions Factors'!$G$11*('Calcs - Power'!H74+'Calcs - Power'!I74+'Calcs - Power'!J74+'Calcs - Power'!K74))</f>
        <v>3483219.6611936158</v>
      </c>
      <c r="BF75" s="366">
        <f>(102*'Emissions Factors'!$G$10*'Calcs - Power'!$B74+'Emissions Factors'!$G$11*('Calcs - Power'!C74+'Calcs - Power'!D74+'Calcs - Power'!E74+'Calcs - Power'!F74))</f>
        <v>124582521.3517302</v>
      </c>
    </row>
    <row r="76" spans="1:58" x14ac:dyDescent="0.3">
      <c r="A76" s="351">
        <f t="shared" si="10"/>
        <v>64</v>
      </c>
      <c r="B76" s="352">
        <f t="shared" si="14"/>
        <v>1</v>
      </c>
      <c r="C76" s="363">
        <f t="shared" si="15"/>
        <v>0.99999999999999989</v>
      </c>
      <c r="D76" s="352">
        <f t="shared" si="16"/>
        <v>1</v>
      </c>
      <c r="E76" s="364">
        <f t="shared" si="17"/>
        <v>1</v>
      </c>
      <c r="F76" s="364">
        <f t="shared" si="18"/>
        <v>1</v>
      </c>
      <c r="G76" s="365">
        <f t="shared" si="19"/>
        <v>1</v>
      </c>
      <c r="P76" s="358">
        <f t="shared" si="11"/>
        <v>64</v>
      </c>
      <c r="Q76" s="359">
        <f>(('Methane Leakage'!$C$6/'Methane Leakage'!$C$5)*102*'Emissions Factors'!$C$38*'Calcs - Power'!$G75+'Emissions Factors'!$C$37*('Calcs - Power'!$H75+'Calcs - Power'!$I75+'Calcs - Power'!$J75+'Calcs - Power'!$K75))</f>
        <v>20189.442522253052</v>
      </c>
      <c r="R76" s="366">
        <f>(('Methane Leakage'!$C$6/'Methane Leakage'!$C$5)*102*'Emissions Factors'!$C$38*'Calcs - Power'!$B75+'Emissions Factors'!$C$37*('Calcs - Power'!$C75+'Calcs - Power'!$D75+'Calcs - Power'!$E75+'Calcs - Power'!$F75))</f>
        <v>788264.11391753214</v>
      </c>
      <c r="S76" s="359">
        <f>(('Methane Leakage'!$C$6/'Methane Leakage'!$C$5)*102*'Emissions Factors'!$D$38*'Calcs - Power'!$G75+'Emissions Factors'!$D$37*('Calcs - Power'!$H75+'Calcs - Power'!$I75+'Calcs - Power'!$J75+'Calcs - Power'!$K75))</f>
        <v>20189.442522253052</v>
      </c>
      <c r="T76" s="366">
        <f>(('Methane Leakage'!$C$6/'Methane Leakage'!$C$5)*102*'Emissions Factors'!$D$38*'Calcs - Power'!$B75+'Emissions Factors'!$D$37*('Calcs - Power'!$C75+'Calcs - Power'!$D75+'Calcs - Power'!$E75+'Calcs - Power'!$F75))</f>
        <v>788264.11391753214</v>
      </c>
      <c r="U76" s="361">
        <f>(102*'Emissions Factors'!$C$36*'Calcs - Power'!$G75+'Emissions Factors'!$C$35*('Calcs - Power'!$H75+'Calcs - Power'!$I75+'Calcs - Power'!$J75+'Calcs - Power'!$K75))</f>
        <v>34164.166492194905</v>
      </c>
      <c r="V76" s="366">
        <f>(102*'Emissions Factors'!$C$36*'Calcs - Power'!$B75+'Emissions Factors'!$C$35*('Calcs - Power'!$C75+'Calcs - Power'!$D75+'Calcs - Power'!$E75+'Calcs - Power'!$F75))</f>
        <v>1237926.491816029</v>
      </c>
      <c r="W76" s="359">
        <f>(102*'Emissions Factors'!$D$36*'Calcs - Power'!$G75+'Emissions Factors'!$D$35*('Calcs - Power'!$H75+'Calcs - Power'!$I75+'Calcs - Power'!$J75+'Calcs - Power'!$K75))</f>
        <v>34164.166492194905</v>
      </c>
      <c r="X76" s="366">
        <f>(102*'Emissions Factors'!$D$36*'Calcs - Power'!$B75+'Emissions Factors'!$D$35*('Calcs - Power'!$C75+'Calcs - Power'!$D75+'Calcs - Power'!$E75+'Calcs - Power'!$F75))</f>
        <v>1237926.491816029</v>
      </c>
      <c r="Y76" s="359">
        <f>(102*'Emissions Factors'!$C$38*'Calcs - Power'!$G75+'Emissions Factors'!$C$37*('Calcs - Power'!$H75+'Calcs - Power'!$I75+'Calcs - Power'!$J75+'Calcs - Power'!$K75))</f>
        <v>20189.442522253052</v>
      </c>
      <c r="Z76" s="366">
        <f>(102*'Emissions Factors'!$C$38*'Calcs - Power'!$B75+'Emissions Factors'!$C$37*('Calcs - Power'!$C75+'Calcs - Power'!$D75+'Calcs - Power'!$E75+'Calcs - Power'!$F75))</f>
        <v>788264.11391753214</v>
      </c>
      <c r="AA76" s="359">
        <f>(102*'Emissions Factors'!$C$36*'Calcs - Power'!$G75+'Emissions Factors'!$C$35*('Calcs - Power'!$H75+'Calcs - Power'!$I75+'Calcs - Power'!$J75+'Calcs - Power'!$K75))</f>
        <v>34164.166492194905</v>
      </c>
      <c r="AB76" s="366">
        <f>(102*'Emissions Factors'!$C$36*'Calcs - Power'!$B75+'Emissions Factors'!$C$35*('Calcs - Power'!$C75+'Calcs - Power'!$D75+'Calcs - Power'!$E75+'Calcs - Power'!$F75))</f>
        <v>1237926.491816029</v>
      </c>
      <c r="AI76" s="358">
        <f t="shared" si="12"/>
        <v>64</v>
      </c>
      <c r="AJ76" s="359">
        <f>(('Methane Leakage'!$G$6/'Methane Leakage'!$G$5)*102*'Emissions Factors'!$D$10*'Calcs - Power'!$G75+'Emissions Factors'!$D$11*('Calcs - Power'!$H75+'Calcs - Power'!$I75+'Calcs - Power'!$J75+'Calcs - Power'!$K75))</f>
        <v>2846.8080693972197</v>
      </c>
      <c r="AK76" s="366">
        <f>(('Methane Leakage'!$G$6/'Methane Leakage'!$G$5)*102*'Emissions Factors'!$D$10*'Calcs - Power'!$B75+'Emissions Factors'!$D$11*('Calcs - Power'!$C75+'Calcs - Power'!$D75+'Calcs - Power'!$E75+'Calcs - Power'!$F75))</f>
        <v>113788.61116166438</v>
      </c>
      <c r="AL76" s="359">
        <f>(102*'Emissions Factors'!$E$10*'Calcs - Power'!$G75+'Emissions Factors'!$E$11*('Calcs - Power'!H75+'Calcs - Power'!I75+'Calcs - Power'!J75+'Calcs - Power'!K75))</f>
        <v>3061.3226192416664</v>
      </c>
      <c r="AM76" s="366">
        <f>(102*'Emissions Factors'!$E$10*'Calcs - Power'!$B75+'Emissions Factors'!$E$11*('Calcs - Power'!C75+'Calcs - Power'!D75+'Calcs - Power'!E75+'Calcs - Power'!F75))</f>
        <v>111646.40582733905</v>
      </c>
      <c r="AN76" s="359">
        <f>(102*'Emissions Factors'!$D$10*'Calcs - Power'!$G75+'Emissions Factors'!$D$11*('Calcs - Power'!$H75+'Calcs - Power'!$I75+'Calcs - Power'!$J75+'Calcs - Power'!$K75))</f>
        <v>2846.8080693972197</v>
      </c>
      <c r="AO76" s="366">
        <f>(102*'Emissions Factors'!$D$10*'Calcs - Power'!$B75+'Emissions Factors'!$D$11*('Calcs - Power'!$C75+'Calcs - Power'!$D75+'Calcs - Power'!$E75+'Calcs - Power'!$F75))</f>
        <v>113788.61116166438</v>
      </c>
      <c r="AP76" s="367">
        <f>(102*'Emissions Factors'!$E$10*'Calcs - Power'!$G75+'Emissions Factors'!$E$11*('Calcs - Power'!H75+'Calcs - Power'!I75+'Calcs - Power'!J75+'Calcs - Power'!K75))</f>
        <v>3061.3226192416664</v>
      </c>
      <c r="AQ76" s="366">
        <f>(102*'Emissions Factors'!$E$10*'Calcs - Power'!$B75+'Emissions Factors'!$E$11*('Calcs - Power'!C75+'Calcs - Power'!D75+'Calcs - Power'!E75+'Calcs - Power'!F75))</f>
        <v>111646.40582733905</v>
      </c>
      <c r="AS76" s="357"/>
      <c r="AT76" s="357"/>
      <c r="AU76" s="357"/>
      <c r="AV76" s="357"/>
      <c r="AX76" s="358">
        <f t="shared" si="13"/>
        <v>64</v>
      </c>
      <c r="AY76" s="359">
        <f>(('Methane Leakage'!$G$6/'Methane Leakage'!$G$5)*102*'Emissions Factors'!$F$10*'Calcs - Power'!$G75+'Emissions Factors'!$F$11*('Calcs - Power'!$H75+'Calcs - Power'!$I75+'Calcs - Power'!$J75+'Calcs - Power'!$K75))</f>
        <v>3798920.4766784729</v>
      </c>
      <c r="AZ76" s="366">
        <f>(('Methane Leakage'!$G$6/'Methane Leakage'!$G$5)*102*'Emissions Factors'!$F$10*'Calcs - Power'!$B75+'Emissions Factors'!$F$11*('Calcs - Power'!$C75+'Calcs - Power'!$D75+'Calcs - Power'!$E75+'Calcs - Power'!$F75))</f>
        <v>148092772.67013109</v>
      </c>
      <c r="BA76" s="359">
        <f>(102*'Emissions Factors'!$G$10*'Calcs - Power'!$G75+'Emissions Factors'!$G$11*('Calcs - Power'!H75+'Calcs - Power'!I75+'Calcs - Power'!J75+'Calcs - Power'!K75))</f>
        <v>3524004.2480406496</v>
      </c>
      <c r="BB76" s="366">
        <f>(102*'Emissions Factors'!$G$10*'Calcs - Power'!$B75+'Emissions Factors'!$G$11*('Calcs - Power'!C75+'Calcs - Power'!D75+'Calcs - Power'!E75+'Calcs - Power'!F75))</f>
        <v>128086147.2349264</v>
      </c>
      <c r="BC76" s="359">
        <f>(102*'Emissions Factors'!$F$10*'Calcs - Power'!$G75+'Emissions Factors'!$F$11*('Calcs - Power'!$H75+'Calcs - Power'!$I75+'Calcs - Power'!$J75+'Calcs - Power'!$K75))</f>
        <v>3798920.4766784729</v>
      </c>
      <c r="BD76" s="366">
        <f>(102*'Emissions Factors'!$F$10*'Calcs - Power'!$B75+'Emissions Factors'!$F$11*('Calcs - Power'!$C75+'Calcs - Power'!$D75+'Calcs - Power'!$E75+'Calcs - Power'!$F75))</f>
        <v>148092772.67013109</v>
      </c>
      <c r="BE76" s="359">
        <f>(102*'Emissions Factors'!$G$10*'Calcs - Power'!$G75+'Emissions Factors'!$G$11*('Calcs - Power'!H75+'Calcs - Power'!I75+'Calcs - Power'!J75+'Calcs - Power'!K75))</f>
        <v>3524004.2480406496</v>
      </c>
      <c r="BF76" s="366">
        <f>(102*'Emissions Factors'!$G$10*'Calcs - Power'!$B75+'Emissions Factors'!$G$11*('Calcs - Power'!C75+'Calcs - Power'!D75+'Calcs - Power'!E75+'Calcs - Power'!F75))</f>
        <v>128086147.2349264</v>
      </c>
    </row>
    <row r="77" spans="1:58" x14ac:dyDescent="0.3">
      <c r="A77" s="351">
        <f t="shared" si="10"/>
        <v>65</v>
      </c>
      <c r="B77" s="352">
        <f t="shared" si="14"/>
        <v>0.99999999999999978</v>
      </c>
      <c r="C77" s="363">
        <f t="shared" si="15"/>
        <v>0.99999999999999967</v>
      </c>
      <c r="D77" s="352">
        <f t="shared" si="16"/>
        <v>1</v>
      </c>
      <c r="E77" s="364">
        <f t="shared" si="17"/>
        <v>1</v>
      </c>
      <c r="F77" s="364">
        <f t="shared" si="18"/>
        <v>1</v>
      </c>
      <c r="G77" s="365">
        <f t="shared" si="19"/>
        <v>1</v>
      </c>
      <c r="P77" s="358">
        <f t="shared" si="11"/>
        <v>65</v>
      </c>
      <c r="Q77" s="359">
        <f>(('Methane Leakage'!$C$6/'Methane Leakage'!$C$5)*102*'Emissions Factors'!$C$38*'Calcs - Power'!$G76+'Emissions Factors'!$C$37*('Calcs - Power'!$H76+'Calcs - Power'!$I76+'Calcs - Power'!$J76+'Calcs - Power'!$K76))</f>
        <v>20384.168873911123</v>
      </c>
      <c r="R77" s="366">
        <f>(('Methane Leakage'!$C$6/'Methane Leakage'!$C$5)*102*'Emissions Factors'!$C$38*'Calcs - Power'!$B76+'Emissions Factors'!$C$37*('Calcs - Power'!$C76+'Calcs - Power'!$D76+'Calcs - Power'!$E76+'Calcs - Power'!$F76))</f>
        <v>808550.99351345294</v>
      </c>
      <c r="S77" s="359">
        <f>(('Methane Leakage'!$C$6/'Methane Leakage'!$C$5)*102*'Emissions Factors'!$D$38*'Calcs - Power'!$G76+'Emissions Factors'!$D$37*('Calcs - Power'!$H76+'Calcs - Power'!$I76+'Calcs - Power'!$J76+'Calcs - Power'!$K76))</f>
        <v>20384.168873911123</v>
      </c>
      <c r="T77" s="366">
        <f>(('Methane Leakage'!$C$6/'Methane Leakage'!$C$5)*102*'Emissions Factors'!$D$38*'Calcs - Power'!$B76+'Emissions Factors'!$D$37*('Calcs - Power'!$C76+'Calcs - Power'!$D76+'Calcs - Power'!$E76+'Calcs - Power'!$F76))</f>
        <v>808550.99351345294</v>
      </c>
      <c r="U77" s="361">
        <f>(102*'Emissions Factors'!$C$36*'Calcs - Power'!$G76+'Emissions Factors'!$C$35*('Calcs - Power'!$H76+'Calcs - Power'!$I76+'Calcs - Power'!$J76+'Calcs - Power'!$K76))</f>
        <v>34560.632835943696</v>
      </c>
      <c r="V77" s="366">
        <f>(102*'Emissions Factors'!$C$36*'Calcs - Power'!$B76+'Emissions Factors'!$C$35*('Calcs - Power'!$C76+'Calcs - Power'!$D76+'Calcs - Power'!$E76+'Calcs - Power'!$F76))</f>
        <v>1272289.0235213493</v>
      </c>
      <c r="W77" s="359">
        <f>(102*'Emissions Factors'!$D$36*'Calcs - Power'!$G76+'Emissions Factors'!$D$35*('Calcs - Power'!$H76+'Calcs - Power'!$I76+'Calcs - Power'!$J76+'Calcs - Power'!$K76))</f>
        <v>34560.632835943696</v>
      </c>
      <c r="X77" s="366">
        <f>(102*'Emissions Factors'!$D$36*'Calcs - Power'!$B76+'Emissions Factors'!$D$35*('Calcs - Power'!$C76+'Calcs - Power'!$D76+'Calcs - Power'!$E76+'Calcs - Power'!$F76))</f>
        <v>1272289.0235213493</v>
      </c>
      <c r="Y77" s="359">
        <f>(102*'Emissions Factors'!$C$38*'Calcs - Power'!$G76+'Emissions Factors'!$C$37*('Calcs - Power'!$H76+'Calcs - Power'!$I76+'Calcs - Power'!$J76+'Calcs - Power'!$K76))</f>
        <v>20384.168873911123</v>
      </c>
      <c r="Z77" s="366">
        <f>(102*'Emissions Factors'!$C$38*'Calcs - Power'!$B76+'Emissions Factors'!$C$37*('Calcs - Power'!$C76+'Calcs - Power'!$D76+'Calcs - Power'!$E76+'Calcs - Power'!$F76))</f>
        <v>808550.99351345294</v>
      </c>
      <c r="AA77" s="359">
        <f>(102*'Emissions Factors'!$C$36*'Calcs - Power'!$G76+'Emissions Factors'!$C$35*('Calcs - Power'!$H76+'Calcs - Power'!$I76+'Calcs - Power'!$J76+'Calcs - Power'!$K76))</f>
        <v>34560.632835943696</v>
      </c>
      <c r="AB77" s="366">
        <f>(102*'Emissions Factors'!$C$36*'Calcs - Power'!$B76+'Emissions Factors'!$C$35*('Calcs - Power'!$C76+'Calcs - Power'!$D76+'Calcs - Power'!$E76+'Calcs - Power'!$F76))</f>
        <v>1272289.0235213493</v>
      </c>
      <c r="AI77" s="358">
        <f t="shared" si="12"/>
        <v>65</v>
      </c>
      <c r="AJ77" s="359">
        <f>(('Methane Leakage'!$G$6/'Methane Leakage'!$G$5)*102*'Emissions Factors'!$D$10*'Calcs - Power'!$G76+'Emissions Factors'!$D$11*('Calcs - Power'!$H76+'Calcs - Power'!$I76+'Calcs - Power'!$J76+'Calcs - Power'!$K76))</f>
        <v>2872.4236504219307</v>
      </c>
      <c r="AK77" s="366">
        <f>(('Methane Leakage'!$G$6/'Methane Leakage'!$G$5)*102*'Emissions Factors'!$D$10*'Calcs - Power'!$B76+'Emissions Factors'!$D$11*('Calcs - Power'!$C76+'Calcs - Power'!$D76+'Calcs - Power'!$E76+'Calcs - Power'!$F76))</f>
        <v>116648.23724916586</v>
      </c>
      <c r="AL77" s="359">
        <f>(102*'Emissions Factors'!$E$10*'Calcs - Power'!$G76+'Emissions Factors'!$E$11*('Calcs - Power'!H76+'Calcs - Power'!I76+'Calcs - Power'!J76+'Calcs - Power'!K76))</f>
        <v>3096.3457788740798</v>
      </c>
      <c r="AM77" s="366">
        <f>(102*'Emissions Factors'!$E$10*'Calcs - Power'!$B76+'Emissions Factors'!$E$11*('Calcs - Power'!C76+'Calcs - Power'!D76+'Calcs - Power'!E76+'Calcs - Power'!F76))</f>
        <v>114725.25180561458</v>
      </c>
      <c r="AN77" s="359">
        <f>(102*'Emissions Factors'!$D$10*'Calcs - Power'!$G76+'Emissions Factors'!$D$11*('Calcs - Power'!$H76+'Calcs - Power'!$I76+'Calcs - Power'!$J76+'Calcs - Power'!$K76))</f>
        <v>2872.4236504219307</v>
      </c>
      <c r="AO77" s="366">
        <f>(102*'Emissions Factors'!$D$10*'Calcs - Power'!$B76+'Emissions Factors'!$D$11*('Calcs - Power'!$C76+'Calcs - Power'!$D76+'Calcs - Power'!$E76+'Calcs - Power'!$F76))</f>
        <v>116648.23724916586</v>
      </c>
      <c r="AP77" s="367">
        <f>(102*'Emissions Factors'!$E$10*'Calcs - Power'!$G76+'Emissions Factors'!$E$11*('Calcs - Power'!H76+'Calcs - Power'!I76+'Calcs - Power'!J76+'Calcs - Power'!K76))</f>
        <v>3096.3457788740798</v>
      </c>
      <c r="AQ77" s="366">
        <f>(102*'Emissions Factors'!$E$10*'Calcs - Power'!$B76+'Emissions Factors'!$E$11*('Calcs - Power'!C76+'Calcs - Power'!D76+'Calcs - Power'!E76+'Calcs - Power'!F76))</f>
        <v>114725.25180561458</v>
      </c>
      <c r="AS77" s="357"/>
      <c r="AT77" s="357"/>
      <c r="AU77" s="357"/>
      <c r="AV77" s="357"/>
      <c r="AX77" s="358">
        <f t="shared" si="13"/>
        <v>65</v>
      </c>
      <c r="AY77" s="359">
        <f>(('Methane Leakage'!$G$6/'Methane Leakage'!$G$5)*102*'Emissions Factors'!$F$10*'Calcs - Power'!$G76+'Emissions Factors'!$F$11*('Calcs - Power'!$H76+'Calcs - Power'!$I76+'Calcs - Power'!$J76+'Calcs - Power'!$K76))</f>
        <v>3835721.3428613944</v>
      </c>
      <c r="AZ77" s="366">
        <f>(('Methane Leakage'!$G$6/'Methane Leakage'!$G$5)*102*'Emissions Factors'!$F$10*'Calcs - Power'!$B76+'Emissions Factors'!$F$11*('Calcs - Power'!$C76+'Calcs - Power'!$D76+'Calcs - Power'!$E76+'Calcs - Power'!$F76))</f>
        <v>151910107.50154862</v>
      </c>
      <c r="BA77" s="359">
        <f>(102*'Emissions Factors'!$G$10*'Calcs - Power'!$G76+'Emissions Factors'!$G$11*('Calcs - Power'!H76+'Calcs - Power'!I76+'Calcs - Power'!J76+'Calcs - Power'!K76))</f>
        <v>3564623.7298488519</v>
      </c>
      <c r="BB77" s="366">
        <f>(102*'Emissions Factors'!$G$10*'Calcs - Power'!$B76+'Emissions Factors'!$G$11*('Calcs - Power'!C76+'Calcs - Power'!D76+'Calcs - Power'!E76+'Calcs - Power'!F76))</f>
        <v>131630474.81501974</v>
      </c>
      <c r="BC77" s="359">
        <f>(102*'Emissions Factors'!$F$10*'Calcs - Power'!$G76+'Emissions Factors'!$F$11*('Calcs - Power'!$H76+'Calcs - Power'!$I76+'Calcs - Power'!$J76+'Calcs - Power'!$K76))</f>
        <v>3835721.3428613944</v>
      </c>
      <c r="BD77" s="366">
        <f>(102*'Emissions Factors'!$F$10*'Calcs - Power'!$B76+'Emissions Factors'!$F$11*('Calcs - Power'!$C76+'Calcs - Power'!$D76+'Calcs - Power'!$E76+'Calcs - Power'!$F76))</f>
        <v>151910107.50154862</v>
      </c>
      <c r="BE77" s="359">
        <f>(102*'Emissions Factors'!$G$10*'Calcs - Power'!$G76+'Emissions Factors'!$G$11*('Calcs - Power'!H76+'Calcs - Power'!I76+'Calcs - Power'!J76+'Calcs - Power'!K76))</f>
        <v>3564623.7298488519</v>
      </c>
      <c r="BF77" s="366">
        <f>(102*'Emissions Factors'!$G$10*'Calcs - Power'!$B76+'Emissions Factors'!$G$11*('Calcs - Power'!C76+'Calcs - Power'!D76+'Calcs - Power'!E76+'Calcs - Power'!F76))</f>
        <v>131630474.81501974</v>
      </c>
    </row>
    <row r="78" spans="1:58" x14ac:dyDescent="0.3">
      <c r="A78" s="351">
        <f t="shared" si="10"/>
        <v>66</v>
      </c>
      <c r="B78" s="352">
        <f t="shared" si="14"/>
        <v>1</v>
      </c>
      <c r="C78" s="363">
        <f t="shared" si="15"/>
        <v>0.99999999999999989</v>
      </c>
      <c r="D78" s="352">
        <f t="shared" si="16"/>
        <v>1</v>
      </c>
      <c r="E78" s="364">
        <f t="shared" si="17"/>
        <v>1</v>
      </c>
      <c r="F78" s="364">
        <f t="shared" si="18"/>
        <v>1</v>
      </c>
      <c r="G78" s="365">
        <f t="shared" si="19"/>
        <v>1</v>
      </c>
      <c r="P78" s="358">
        <f t="shared" si="11"/>
        <v>66</v>
      </c>
      <c r="Q78" s="359">
        <f>(('Methane Leakage'!$C$6/'Methane Leakage'!$C$5)*102*'Emissions Factors'!$C$38*'Calcs - Power'!$G77+'Emissions Factors'!$C$37*('Calcs - Power'!$H77+'Calcs - Power'!$I77+'Calcs - Power'!$J77+'Calcs - Power'!$K77))</f>
        <v>20578.022144236278</v>
      </c>
      <c r="R78" s="366">
        <f>(('Methane Leakage'!$C$6/'Methane Leakage'!$C$5)*102*'Emissions Factors'!$C$38*'Calcs - Power'!$B77+'Emissions Factors'!$C$37*('Calcs - Power'!$C77+'Calcs - Power'!$D77+'Calcs - Power'!$E77+'Calcs - Power'!$F77))</f>
        <v>829032.1606563899</v>
      </c>
      <c r="S78" s="359">
        <f>(('Methane Leakage'!$C$6/'Methane Leakage'!$C$5)*102*'Emissions Factors'!$D$38*'Calcs - Power'!$G77+'Emissions Factors'!$D$37*('Calcs - Power'!$H77+'Calcs - Power'!$I77+'Calcs - Power'!$J77+'Calcs - Power'!$K77))</f>
        <v>20578.022144236278</v>
      </c>
      <c r="T78" s="366">
        <f>(('Methane Leakage'!$C$6/'Methane Leakage'!$C$5)*102*'Emissions Factors'!$D$38*'Calcs - Power'!$B77+'Emissions Factors'!$D$37*('Calcs - Power'!$C77+'Calcs - Power'!$D77+'Calcs - Power'!$E77+'Calcs - Power'!$F77))</f>
        <v>829032.1606563899</v>
      </c>
      <c r="U78" s="361">
        <f>(102*'Emissions Factors'!$C$36*'Calcs - Power'!$G77+'Emissions Factors'!$C$35*('Calcs - Power'!$H77+'Calcs - Power'!$I77+'Calcs - Power'!$J77+'Calcs - Power'!$K77))</f>
        <v>34955.533311199913</v>
      </c>
      <c r="V78" s="366">
        <f>(102*'Emissions Factors'!$C$36*'Calcs - Power'!$B77+'Emissions Factors'!$C$35*('Calcs - Power'!$C77+'Calcs - Power'!$D77+'Calcs - Power'!$E77+'Calcs - Power'!$F77))</f>
        <v>1307047.2355516553</v>
      </c>
      <c r="W78" s="359">
        <f>(102*'Emissions Factors'!$D$36*'Calcs - Power'!$G77+'Emissions Factors'!$D$35*('Calcs - Power'!$H77+'Calcs - Power'!$I77+'Calcs - Power'!$J77+'Calcs - Power'!$K77))</f>
        <v>34955.533311199913</v>
      </c>
      <c r="X78" s="366">
        <f>(102*'Emissions Factors'!$D$36*'Calcs - Power'!$B77+'Emissions Factors'!$D$35*('Calcs - Power'!$C77+'Calcs - Power'!$D77+'Calcs - Power'!$E77+'Calcs - Power'!$F77))</f>
        <v>1307047.2355516553</v>
      </c>
      <c r="Y78" s="359">
        <f>(102*'Emissions Factors'!$C$38*'Calcs - Power'!$G77+'Emissions Factors'!$C$37*('Calcs - Power'!$H77+'Calcs - Power'!$I77+'Calcs - Power'!$J77+'Calcs - Power'!$K77))</f>
        <v>20578.022144236278</v>
      </c>
      <c r="Z78" s="366">
        <f>(102*'Emissions Factors'!$C$38*'Calcs - Power'!$B77+'Emissions Factors'!$C$37*('Calcs - Power'!$C77+'Calcs - Power'!$D77+'Calcs - Power'!$E77+'Calcs - Power'!$F77))</f>
        <v>829032.1606563899</v>
      </c>
      <c r="AA78" s="359">
        <f>(102*'Emissions Factors'!$C$36*'Calcs - Power'!$G77+'Emissions Factors'!$C$35*('Calcs - Power'!$H77+'Calcs - Power'!$I77+'Calcs - Power'!$J77+'Calcs - Power'!$K77))</f>
        <v>34955.533311199913</v>
      </c>
      <c r="AB78" s="366">
        <f>(102*'Emissions Factors'!$C$36*'Calcs - Power'!$B77+'Emissions Factors'!$C$35*('Calcs - Power'!$C77+'Calcs - Power'!$D77+'Calcs - Power'!$E77+'Calcs - Power'!$F77))</f>
        <v>1307047.2355516553</v>
      </c>
      <c r="AI78" s="358">
        <f t="shared" si="12"/>
        <v>66</v>
      </c>
      <c r="AJ78" s="359">
        <f>(('Methane Leakage'!$G$6/'Methane Leakage'!$G$5)*102*'Emissions Factors'!$D$10*'Calcs - Power'!$G77+'Emissions Factors'!$D$11*('Calcs - Power'!$H77+'Calcs - Power'!$I77+'Calcs - Power'!$J77+'Calcs - Power'!$K77))</f>
        <v>2897.9185560808328</v>
      </c>
      <c r="AK78" s="366">
        <f>(('Methane Leakage'!$G$6/'Methane Leakage'!$G$5)*102*'Emissions Factors'!$D$10*'Calcs - Power'!$B77+'Emissions Factors'!$D$11*('Calcs - Power'!$C77+'Calcs - Power'!$D77+'Calcs - Power'!$E77+'Calcs - Power'!$F77))</f>
        <v>119533.4182402422</v>
      </c>
      <c r="AL78" s="359">
        <f>(102*'Emissions Factors'!$E$10*'Calcs - Power'!$G77+'Emissions Factors'!$E$11*('Calcs - Power'!H77+'Calcs - Power'!I77+'Calcs - Power'!J77+'Calcs - Power'!K77))</f>
        <v>3131.2292910641918</v>
      </c>
      <c r="AM78" s="366">
        <f>(102*'Emissions Factors'!$E$10*'Calcs - Power'!$B77+'Emissions Factors'!$E$11*('Calcs - Power'!C77+'Calcs - Power'!D77+'Calcs - Power'!E77+'Calcs - Power'!F77))</f>
        <v>117839.05083780435</v>
      </c>
      <c r="AN78" s="359">
        <f>(102*'Emissions Factors'!$D$10*'Calcs - Power'!$G77+'Emissions Factors'!$D$11*('Calcs - Power'!$H77+'Calcs - Power'!$I77+'Calcs - Power'!$J77+'Calcs - Power'!$K77))</f>
        <v>2897.9185560808328</v>
      </c>
      <c r="AO78" s="366">
        <f>(102*'Emissions Factors'!$D$10*'Calcs - Power'!$B77+'Emissions Factors'!$D$11*('Calcs - Power'!$C77+'Calcs - Power'!$D77+'Calcs - Power'!$E77+'Calcs - Power'!$F77))</f>
        <v>119533.4182402422</v>
      </c>
      <c r="AP78" s="367">
        <f>(102*'Emissions Factors'!$E$10*'Calcs - Power'!$G77+'Emissions Factors'!$E$11*('Calcs - Power'!H77+'Calcs - Power'!I77+'Calcs - Power'!J77+'Calcs - Power'!K77))</f>
        <v>3131.2292910641918</v>
      </c>
      <c r="AQ78" s="366">
        <f>(102*'Emissions Factors'!$E$10*'Calcs - Power'!$B77+'Emissions Factors'!$E$11*('Calcs - Power'!C77+'Calcs - Power'!D77+'Calcs - Power'!E77+'Calcs - Power'!F77))</f>
        <v>117839.05083780435</v>
      </c>
      <c r="AS78" s="357"/>
      <c r="AT78" s="357"/>
      <c r="AU78" s="357"/>
      <c r="AV78" s="357"/>
      <c r="AX78" s="358">
        <f t="shared" si="13"/>
        <v>66</v>
      </c>
      <c r="AY78" s="359">
        <f>(('Methane Leakage'!$G$6/'Methane Leakage'!$G$5)*102*'Emissions Factors'!$F$10*'Calcs - Power'!$G77+'Emissions Factors'!$F$11*('Calcs - Power'!$H77+'Calcs - Power'!$I77+'Calcs - Power'!$J77+'Calcs - Power'!$K77))</f>
        <v>3872357.7148600575</v>
      </c>
      <c r="AZ78" s="366">
        <f>(('Methane Leakage'!$G$6/'Methane Leakage'!$G$5)*102*'Emissions Factors'!$F$10*'Calcs - Power'!$B77+'Emissions Factors'!$F$11*('Calcs - Power'!$C77+'Calcs - Power'!$D77+'Calcs - Power'!$E77+'Calcs - Power'!$F77))</f>
        <v>155764160.52784774</v>
      </c>
      <c r="BA78" s="359">
        <f>(102*'Emissions Factors'!$G$10*'Calcs - Power'!$G77+'Emissions Factors'!$G$11*('Calcs - Power'!H77+'Calcs - Power'!I77+'Calcs - Power'!J77+'Calcs - Power'!K77))</f>
        <v>3605082.0578933419</v>
      </c>
      <c r="BB78" s="366">
        <f>(102*'Emissions Factors'!$G$10*'Calcs - Power'!$B77+'Emissions Factors'!$G$11*('Calcs - Power'!C77+'Calcs - Power'!D77+'Calcs - Power'!E77+'Calcs - Power'!F77))</f>
        <v>135215340.97880039</v>
      </c>
      <c r="BC78" s="359">
        <f>(102*'Emissions Factors'!$F$10*'Calcs - Power'!$G77+'Emissions Factors'!$F$11*('Calcs - Power'!$H77+'Calcs - Power'!$I77+'Calcs - Power'!$J77+'Calcs - Power'!$K77))</f>
        <v>3872357.7148600575</v>
      </c>
      <c r="BD78" s="366">
        <f>(102*'Emissions Factors'!$F$10*'Calcs - Power'!$B77+'Emissions Factors'!$F$11*('Calcs - Power'!$C77+'Calcs - Power'!$D77+'Calcs - Power'!$E77+'Calcs - Power'!$F77))</f>
        <v>155764160.52784774</v>
      </c>
      <c r="BE78" s="359">
        <f>(102*'Emissions Factors'!$G$10*'Calcs - Power'!$G77+'Emissions Factors'!$G$11*('Calcs - Power'!H77+'Calcs - Power'!I77+'Calcs - Power'!J77+'Calcs - Power'!K77))</f>
        <v>3605082.0578933419</v>
      </c>
      <c r="BF78" s="366">
        <f>(102*'Emissions Factors'!$G$10*'Calcs - Power'!$B77+'Emissions Factors'!$G$11*('Calcs - Power'!C77+'Calcs - Power'!D77+'Calcs - Power'!E77+'Calcs - Power'!F77))</f>
        <v>135215340.97880039</v>
      </c>
    </row>
    <row r="79" spans="1:58" x14ac:dyDescent="0.3">
      <c r="A79" s="351">
        <f t="shared" ref="A79:A142" si="20">A78+1</f>
        <v>67</v>
      </c>
      <c r="B79" s="352">
        <f t="shared" si="14"/>
        <v>1</v>
      </c>
      <c r="C79" s="363">
        <f t="shared" si="15"/>
        <v>1</v>
      </c>
      <c r="D79" s="352">
        <f t="shared" si="16"/>
        <v>1</v>
      </c>
      <c r="E79" s="364">
        <f t="shared" si="17"/>
        <v>1</v>
      </c>
      <c r="F79" s="364">
        <f t="shared" si="18"/>
        <v>1</v>
      </c>
      <c r="G79" s="365">
        <f t="shared" si="19"/>
        <v>1</v>
      </c>
      <c r="P79" s="358">
        <f t="shared" ref="P79:P142" si="21">P78+1</f>
        <v>67</v>
      </c>
      <c r="Q79" s="359">
        <f>(('Methane Leakage'!$C$6/'Methane Leakage'!$C$5)*102*'Emissions Factors'!$C$38*'Calcs - Power'!$G78+'Emissions Factors'!$C$37*('Calcs - Power'!$H78+'Calcs - Power'!$I78+'Calcs - Power'!$J78+'Calcs - Power'!$K78))</f>
        <v>20771.028704523069</v>
      </c>
      <c r="R79" s="366">
        <f>(('Methane Leakage'!$C$6/'Methane Leakage'!$C$5)*102*'Emissions Factors'!$C$38*'Calcs - Power'!$B78+'Emissions Factors'!$C$37*('Calcs - Power'!$C78+'Calcs - Power'!$D78+'Calcs - Power'!$E78+'Calcs - Power'!$F78))</f>
        <v>849706.75558218523</v>
      </c>
      <c r="S79" s="359">
        <f>(('Methane Leakage'!$C$6/'Methane Leakage'!$C$5)*102*'Emissions Factors'!$D$38*'Calcs - Power'!$G78+'Emissions Factors'!$D$37*('Calcs - Power'!$H78+'Calcs - Power'!$I78+'Calcs - Power'!$J78+'Calcs - Power'!$K78))</f>
        <v>20771.028704523069</v>
      </c>
      <c r="T79" s="366">
        <f>(('Methane Leakage'!$C$6/'Methane Leakage'!$C$5)*102*'Emissions Factors'!$D$38*'Calcs - Power'!$B78+'Emissions Factors'!$D$37*('Calcs - Power'!$C78+'Calcs - Power'!$D78+'Calcs - Power'!$E78+'Calcs - Power'!$F78))</f>
        <v>849706.75558218523</v>
      </c>
      <c r="U79" s="361">
        <f>(102*'Emissions Factors'!$C$36*'Calcs - Power'!$G78+'Emissions Factors'!$C$35*('Calcs - Power'!$H78+'Calcs - Power'!$I78+'Calcs - Power'!$J78+'Calcs - Power'!$K78))</f>
        <v>35348.904054717561</v>
      </c>
      <c r="V79" s="366">
        <f>(102*'Emissions Factors'!$C$36*'Calcs - Power'!$B78+'Emissions Factors'!$C$35*('Calcs - Power'!$C78+'Calcs - Power'!$D78+'Calcs - Power'!$E78+'Calcs - Power'!$F78))</f>
        <v>1342199.5802519815</v>
      </c>
      <c r="W79" s="359">
        <f>(102*'Emissions Factors'!$D$36*'Calcs - Power'!$G78+'Emissions Factors'!$D$35*('Calcs - Power'!$H78+'Calcs - Power'!$I78+'Calcs - Power'!$J78+'Calcs - Power'!$K78))</f>
        <v>35348.904054717561</v>
      </c>
      <c r="X79" s="366">
        <f>(102*'Emissions Factors'!$D$36*'Calcs - Power'!$B78+'Emissions Factors'!$D$35*('Calcs - Power'!$C78+'Calcs - Power'!$D78+'Calcs - Power'!$E78+'Calcs - Power'!$F78))</f>
        <v>1342199.5802519815</v>
      </c>
      <c r="Y79" s="359">
        <f>(102*'Emissions Factors'!$C$38*'Calcs - Power'!$G78+'Emissions Factors'!$C$37*('Calcs - Power'!$H78+'Calcs - Power'!$I78+'Calcs - Power'!$J78+'Calcs - Power'!$K78))</f>
        <v>20771.028704523069</v>
      </c>
      <c r="Z79" s="366">
        <f>(102*'Emissions Factors'!$C$38*'Calcs - Power'!$B78+'Emissions Factors'!$C$37*('Calcs - Power'!$C78+'Calcs - Power'!$D78+'Calcs - Power'!$E78+'Calcs - Power'!$F78))</f>
        <v>849706.75558218523</v>
      </c>
      <c r="AA79" s="359">
        <f>(102*'Emissions Factors'!$C$36*'Calcs - Power'!$G78+'Emissions Factors'!$C$35*('Calcs - Power'!$H78+'Calcs - Power'!$I78+'Calcs - Power'!$J78+'Calcs - Power'!$K78))</f>
        <v>35348.904054717561</v>
      </c>
      <c r="AB79" s="366">
        <f>(102*'Emissions Factors'!$C$36*'Calcs - Power'!$B78+'Emissions Factors'!$C$35*('Calcs - Power'!$C78+'Calcs - Power'!$D78+'Calcs - Power'!$E78+'Calcs - Power'!$F78))</f>
        <v>1342199.5802519815</v>
      </c>
      <c r="AI79" s="358">
        <f t="shared" ref="AI79:AI142" si="22">AI78+1</f>
        <v>67</v>
      </c>
      <c r="AJ79" s="359">
        <f>(('Methane Leakage'!$G$6/'Methane Leakage'!$G$5)*102*'Emissions Factors'!$D$10*'Calcs - Power'!$G78+'Emissions Factors'!$D$11*('Calcs - Power'!$H78+'Calcs - Power'!$I78+'Calcs - Power'!$J78+'Calcs - Power'!$K78))</f>
        <v>2923.2967383449395</v>
      </c>
      <c r="AK79" s="366">
        <f>(('Methane Leakage'!$G$6/'Methane Leakage'!$G$5)*102*'Emissions Factors'!$D$10*'Calcs - Power'!$B78+'Emissions Factors'!$D$11*('Calcs - Power'!$C78+'Calcs - Power'!$D78+'Calcs - Power'!$E78+'Calcs - Power'!$F78))</f>
        <v>122444.03545618881</v>
      </c>
      <c r="AL79" s="359">
        <f>(102*'Emissions Factors'!$E$10*'Calcs - Power'!$G78+'Emissions Factors'!$E$11*('Calcs - Power'!H78+'Calcs - Power'!I78+'Calcs - Power'!J78+'Calcs - Power'!K78))</f>
        <v>3165.9764576211824</v>
      </c>
      <c r="AM79" s="366">
        <f>(102*'Emissions Factors'!$E$10*'Calcs - Power'!$B78+'Emissions Factors'!$E$11*('Calcs - Power'!C78+'Calcs - Power'!D78+'Calcs - Power'!E78+'Calcs - Power'!F78))</f>
        <v>120987.66494095823</v>
      </c>
      <c r="AN79" s="359">
        <f>(102*'Emissions Factors'!$D$10*'Calcs - Power'!$G78+'Emissions Factors'!$D$11*('Calcs - Power'!$H78+'Calcs - Power'!$I78+'Calcs - Power'!$J78+'Calcs - Power'!$K78))</f>
        <v>2923.2967383449395</v>
      </c>
      <c r="AO79" s="366">
        <f>(102*'Emissions Factors'!$D$10*'Calcs - Power'!$B78+'Emissions Factors'!$D$11*('Calcs - Power'!$C78+'Calcs - Power'!$D78+'Calcs - Power'!$E78+'Calcs - Power'!$F78))</f>
        <v>122444.03545618881</v>
      </c>
      <c r="AP79" s="367">
        <f>(102*'Emissions Factors'!$E$10*'Calcs - Power'!$G78+'Emissions Factors'!$E$11*('Calcs - Power'!H78+'Calcs - Power'!I78+'Calcs - Power'!J78+'Calcs - Power'!K78))</f>
        <v>3165.9764576211824</v>
      </c>
      <c r="AQ79" s="366">
        <f>(102*'Emissions Factors'!$E$10*'Calcs - Power'!$B78+'Emissions Factors'!$E$11*('Calcs - Power'!C78+'Calcs - Power'!D78+'Calcs - Power'!E78+'Calcs - Power'!F78))</f>
        <v>120987.66494095823</v>
      </c>
      <c r="AS79" s="357"/>
      <c r="AT79" s="357"/>
      <c r="AU79" s="357"/>
      <c r="AV79" s="357"/>
      <c r="AX79" s="358">
        <f t="shared" ref="AX79:AX142" si="23">AX78+1</f>
        <v>67</v>
      </c>
      <c r="AY79" s="359">
        <f>(('Methane Leakage'!$G$6/'Methane Leakage'!$G$5)*102*'Emissions Factors'!$F$10*'Calcs - Power'!$G78+'Emissions Factors'!$F$11*('Calcs - Power'!$H78+'Calcs - Power'!$I78+'Calcs - Power'!$J78+'Calcs - Power'!$K78))</f>
        <v>3908834.5344561152</v>
      </c>
      <c r="AZ79" s="366">
        <f>(('Methane Leakage'!$G$6/'Methane Leakage'!$G$5)*102*'Emissions Factors'!$F$10*'Calcs - Power'!$B78+'Emissions Factors'!$F$11*('Calcs - Power'!$C78+'Calcs - Power'!$D78+'Calcs - Power'!$E78+'Calcs - Power'!$F78))</f>
        <v>159654769.75029829</v>
      </c>
      <c r="BA79" s="359">
        <f>(102*'Emissions Factors'!$G$10*'Calcs - Power'!$G78+'Emissions Factors'!$G$11*('Calcs - Power'!H78+'Calcs - Power'!I78+'Calcs - Power'!J78+'Calcs - Power'!K78))</f>
        <v>3645382.9945985894</v>
      </c>
      <c r="BB79" s="366">
        <f>(102*'Emissions Factors'!$G$10*'Calcs - Power'!$B78+'Emissions Factors'!$G$11*('Calcs - Power'!C78+'Calcs - Power'!D78+'Calcs - Power'!E78+'Calcs - Power'!F78))</f>
        <v>138840586.46900767</v>
      </c>
      <c r="BC79" s="359">
        <f>(102*'Emissions Factors'!$F$10*'Calcs - Power'!$G78+'Emissions Factors'!$F$11*('Calcs - Power'!$H78+'Calcs - Power'!$I78+'Calcs - Power'!$J78+'Calcs - Power'!$K78))</f>
        <v>3908834.5344561152</v>
      </c>
      <c r="BD79" s="366">
        <f>(102*'Emissions Factors'!$F$10*'Calcs - Power'!$B78+'Emissions Factors'!$F$11*('Calcs - Power'!$C78+'Calcs - Power'!$D78+'Calcs - Power'!$E78+'Calcs - Power'!$F78))</f>
        <v>159654769.75029829</v>
      </c>
      <c r="BE79" s="359">
        <f>(102*'Emissions Factors'!$G$10*'Calcs - Power'!$G78+'Emissions Factors'!$G$11*('Calcs - Power'!H78+'Calcs - Power'!I78+'Calcs - Power'!J78+'Calcs - Power'!K78))</f>
        <v>3645382.9945985894</v>
      </c>
      <c r="BF79" s="366">
        <f>(102*'Emissions Factors'!$G$10*'Calcs - Power'!$B78+'Emissions Factors'!$G$11*('Calcs - Power'!C78+'Calcs - Power'!D78+'Calcs - Power'!E78+'Calcs - Power'!F78))</f>
        <v>138840586.46900767</v>
      </c>
    </row>
    <row r="80" spans="1:58" x14ac:dyDescent="0.3">
      <c r="A80" s="351">
        <f t="shared" si="20"/>
        <v>68</v>
      </c>
      <c r="B80" s="352">
        <f t="shared" si="14"/>
        <v>0.99999999999999978</v>
      </c>
      <c r="C80" s="363">
        <f t="shared" si="15"/>
        <v>1</v>
      </c>
      <c r="D80" s="352">
        <f t="shared" si="16"/>
        <v>1</v>
      </c>
      <c r="E80" s="364">
        <f t="shared" si="17"/>
        <v>1</v>
      </c>
      <c r="F80" s="364">
        <f t="shared" si="18"/>
        <v>1</v>
      </c>
      <c r="G80" s="365">
        <f t="shared" si="19"/>
        <v>1</v>
      </c>
      <c r="P80" s="358">
        <f t="shared" si="21"/>
        <v>68</v>
      </c>
      <c r="Q80" s="359">
        <f>(('Methane Leakage'!$C$6/'Methane Leakage'!$C$5)*102*'Emissions Factors'!$C$38*'Calcs - Power'!$G79+'Emissions Factors'!$C$37*('Calcs - Power'!$H79+'Calcs - Power'!$I79+'Calcs - Power'!$J79+'Calcs - Power'!$K79))</f>
        <v>20963.213400633733</v>
      </c>
      <c r="R80" s="366">
        <f>(('Methane Leakage'!$C$6/'Methane Leakage'!$C$5)*102*'Emissions Factors'!$C$38*'Calcs - Power'!$B79+'Emissions Factors'!$C$37*('Calcs - Power'!$C79+'Calcs - Power'!$D79+'Calcs - Power'!$E79+'Calcs - Power'!$F79))</f>
        <v>870573.94412652683</v>
      </c>
      <c r="S80" s="359">
        <f>(('Methane Leakage'!$C$6/'Methane Leakage'!$C$5)*102*'Emissions Factors'!$D$38*'Calcs - Power'!$G79+'Emissions Factors'!$D$37*('Calcs - Power'!$H79+'Calcs - Power'!$I79+'Calcs - Power'!$J79+'Calcs - Power'!$K79))</f>
        <v>20963.213400633733</v>
      </c>
      <c r="T80" s="366">
        <f>(('Methane Leakage'!$C$6/'Methane Leakage'!$C$5)*102*'Emissions Factors'!$D$38*'Calcs - Power'!$B79+'Emissions Factors'!$D$37*('Calcs - Power'!$C79+'Calcs - Power'!$D79+'Calcs - Power'!$E79+'Calcs - Power'!$F79))</f>
        <v>870573.94412652683</v>
      </c>
      <c r="U80" s="361">
        <f>(102*'Emissions Factors'!$C$36*'Calcs - Power'!$G79+'Emissions Factors'!$C$35*('Calcs - Power'!$H79+'Calcs - Power'!$I79+'Calcs - Power'!$J79+'Calcs - Power'!$K79))</f>
        <v>35740.779509518521</v>
      </c>
      <c r="V80" s="366">
        <f>(102*'Emissions Factors'!$C$36*'Calcs - Power'!$B79+'Emissions Factors'!$C$35*('Calcs - Power'!$C79+'Calcs - Power'!$D79+'Calcs - Power'!$E79+'Calcs - Power'!$F79))</f>
        <v>1377744.5452493005</v>
      </c>
      <c r="W80" s="359">
        <f>(102*'Emissions Factors'!$D$36*'Calcs - Power'!$G79+'Emissions Factors'!$D$35*('Calcs - Power'!$H79+'Calcs - Power'!$I79+'Calcs - Power'!$J79+'Calcs - Power'!$K79))</f>
        <v>35740.779509518521</v>
      </c>
      <c r="X80" s="366">
        <f>(102*'Emissions Factors'!$D$36*'Calcs - Power'!$B79+'Emissions Factors'!$D$35*('Calcs - Power'!$C79+'Calcs - Power'!$D79+'Calcs - Power'!$E79+'Calcs - Power'!$F79))</f>
        <v>1377744.5452493005</v>
      </c>
      <c r="Y80" s="359">
        <f>(102*'Emissions Factors'!$C$38*'Calcs - Power'!$G79+'Emissions Factors'!$C$37*('Calcs - Power'!$H79+'Calcs - Power'!$I79+'Calcs - Power'!$J79+'Calcs - Power'!$K79))</f>
        <v>20963.213400633733</v>
      </c>
      <c r="Z80" s="366">
        <f>(102*'Emissions Factors'!$C$38*'Calcs - Power'!$B79+'Emissions Factors'!$C$37*('Calcs - Power'!$C79+'Calcs - Power'!$D79+'Calcs - Power'!$E79+'Calcs - Power'!$F79))</f>
        <v>870573.94412652683</v>
      </c>
      <c r="AA80" s="359">
        <f>(102*'Emissions Factors'!$C$36*'Calcs - Power'!$G79+'Emissions Factors'!$C$35*('Calcs - Power'!$H79+'Calcs - Power'!$I79+'Calcs - Power'!$J79+'Calcs - Power'!$K79))</f>
        <v>35740.779509518521</v>
      </c>
      <c r="AB80" s="366">
        <f>(102*'Emissions Factors'!$C$36*'Calcs - Power'!$B79+'Emissions Factors'!$C$35*('Calcs - Power'!$C79+'Calcs - Power'!$D79+'Calcs - Power'!$E79+'Calcs - Power'!$F79))</f>
        <v>1377744.5452493005</v>
      </c>
      <c r="AI80" s="358">
        <f t="shared" si="22"/>
        <v>68</v>
      </c>
      <c r="AJ80" s="359">
        <f>(('Methane Leakage'!$G$6/'Methane Leakage'!$G$5)*102*'Emissions Factors'!$D$10*'Calcs - Power'!$G79+'Emissions Factors'!$D$11*('Calcs - Power'!$H79+'Calcs - Power'!$I79+'Calcs - Power'!$J79+'Calcs - Power'!$K79))</f>
        <v>2948.5619096768096</v>
      </c>
      <c r="AK80" s="366">
        <f>(('Methane Leakage'!$G$6/'Methane Leakage'!$G$5)*102*'Emissions Factors'!$D$10*'Calcs - Power'!$B79+'Emissions Factors'!$D$11*('Calcs - Power'!$C79+'Calcs - Power'!$D79+'Calcs - Power'!$E79+'Calcs - Power'!$F79))</f>
        <v>125379.97404909857</v>
      </c>
      <c r="AL80" s="359">
        <f>(102*'Emissions Factors'!$E$10*'Calcs - Power'!$G79+'Emissions Factors'!$E$11*('Calcs - Power'!H79+'Calcs - Power'!I79+'Calcs - Power'!J79+'Calcs - Power'!K79))</f>
        <v>3200.5904219212644</v>
      </c>
      <c r="AM80" s="366">
        <f>(102*'Emissions Factors'!$E$10*'Calcs - Power'!$B79+'Emissions Factors'!$E$11*('Calcs - Power'!C79+'Calcs - Power'!D79+'Calcs - Power'!E79+'Calcs - Power'!F79))</f>
        <v>124170.95935395524</v>
      </c>
      <c r="AN80" s="359">
        <f>(102*'Emissions Factors'!$D$10*'Calcs - Power'!$G79+'Emissions Factors'!$D$11*('Calcs - Power'!$H79+'Calcs - Power'!$I79+'Calcs - Power'!$J79+'Calcs - Power'!$K79))</f>
        <v>2948.5619096768096</v>
      </c>
      <c r="AO80" s="366">
        <f>(102*'Emissions Factors'!$D$10*'Calcs - Power'!$B79+'Emissions Factors'!$D$11*('Calcs - Power'!$C79+'Calcs - Power'!$D79+'Calcs - Power'!$E79+'Calcs - Power'!$F79))</f>
        <v>125379.97404909857</v>
      </c>
      <c r="AP80" s="367">
        <f>(102*'Emissions Factors'!$E$10*'Calcs - Power'!$G79+'Emissions Factors'!$E$11*('Calcs - Power'!H79+'Calcs - Power'!I79+'Calcs - Power'!J79+'Calcs - Power'!K79))</f>
        <v>3200.5904219212644</v>
      </c>
      <c r="AQ80" s="366">
        <f>(102*'Emissions Factors'!$E$10*'Calcs - Power'!$B79+'Emissions Factors'!$E$11*('Calcs - Power'!C79+'Calcs - Power'!D79+'Calcs - Power'!E79+'Calcs - Power'!F79))</f>
        <v>124170.95935395524</v>
      </c>
      <c r="AS80" s="357"/>
      <c r="AT80" s="357"/>
      <c r="AU80" s="357"/>
      <c r="AV80" s="357"/>
      <c r="AX80" s="358">
        <f t="shared" si="23"/>
        <v>68</v>
      </c>
      <c r="AY80" s="359">
        <f>(('Methane Leakage'!$G$6/'Methane Leakage'!$G$5)*102*'Emissions Factors'!$F$10*'Calcs - Power'!$G79+'Emissions Factors'!$F$11*('Calcs - Power'!$H79+'Calcs - Power'!$I79+'Calcs - Power'!$J79+'Calcs - Power'!$K79))</f>
        <v>3945156.4585269773</v>
      </c>
      <c r="AZ80" s="366">
        <f>(('Methane Leakage'!$G$6/'Methane Leakage'!$G$5)*102*'Emissions Factors'!$F$10*'Calcs - Power'!$B79+'Emissions Factors'!$F$11*('Calcs - Power'!$C79+'Calcs - Power'!$D79+'Calcs - Power'!$E79+'Calcs - Power'!$F79))</f>
        <v>163581777.96787274</v>
      </c>
      <c r="BA80" s="359">
        <f>(102*'Emissions Factors'!$G$10*'Calcs - Power'!$G79+'Emissions Factors'!$G$11*('Calcs - Power'!H79+'Calcs - Power'!I79+'Calcs - Power'!J79+'Calcs - Power'!K79))</f>
        <v>3685530.124027546</v>
      </c>
      <c r="BB80" s="366">
        <f>(102*'Emissions Factors'!$G$10*'Calcs - Power'!$B79+'Emissions Factors'!$G$11*('Calcs - Power'!C79+'Calcs - Power'!D79+'Calcs - Power'!E79+'Calcs - Power'!F79))</f>
        <v>142506055.70077664</v>
      </c>
      <c r="BC80" s="359">
        <f>(102*'Emissions Factors'!$F$10*'Calcs - Power'!$G79+'Emissions Factors'!$F$11*('Calcs - Power'!$H79+'Calcs - Power'!$I79+'Calcs - Power'!$J79+'Calcs - Power'!$K79))</f>
        <v>3945156.4585269773</v>
      </c>
      <c r="BD80" s="366">
        <f>(102*'Emissions Factors'!$F$10*'Calcs - Power'!$B79+'Emissions Factors'!$F$11*('Calcs - Power'!$C79+'Calcs - Power'!$D79+'Calcs - Power'!$E79+'Calcs - Power'!$F79))</f>
        <v>163581777.96787274</v>
      </c>
      <c r="BE80" s="359">
        <f>(102*'Emissions Factors'!$G$10*'Calcs - Power'!$G79+'Emissions Factors'!$G$11*('Calcs - Power'!H79+'Calcs - Power'!I79+'Calcs - Power'!J79+'Calcs - Power'!K79))</f>
        <v>3685530.124027546</v>
      </c>
      <c r="BF80" s="366">
        <f>(102*'Emissions Factors'!$G$10*'Calcs - Power'!$B79+'Emissions Factors'!$G$11*('Calcs - Power'!C79+'Calcs - Power'!D79+'Calcs - Power'!E79+'Calcs - Power'!F79))</f>
        <v>142506055.70077664</v>
      </c>
    </row>
    <row r="81" spans="1:58" x14ac:dyDescent="0.3">
      <c r="A81" s="351">
        <f t="shared" si="20"/>
        <v>69</v>
      </c>
      <c r="B81" s="352">
        <f t="shared" si="14"/>
        <v>1</v>
      </c>
      <c r="C81" s="363">
        <f t="shared" si="15"/>
        <v>0.99999999999999989</v>
      </c>
      <c r="D81" s="352">
        <f t="shared" si="16"/>
        <v>1</v>
      </c>
      <c r="E81" s="364">
        <f t="shared" si="17"/>
        <v>1</v>
      </c>
      <c r="F81" s="364">
        <f t="shared" si="18"/>
        <v>1</v>
      </c>
      <c r="G81" s="365">
        <f t="shared" si="19"/>
        <v>1</v>
      </c>
      <c r="P81" s="358">
        <f t="shared" si="21"/>
        <v>69</v>
      </c>
      <c r="Q81" s="359">
        <f>(('Methane Leakage'!$C$6/'Methane Leakage'!$C$5)*102*'Emissions Factors'!$C$38*'Calcs - Power'!$G80+'Emissions Factors'!$C$37*('Calcs - Power'!$H80+'Calcs - Power'!$I80+'Calcs - Power'!$J80+'Calcs - Power'!$K80))</f>
        <v>21154.599654110287</v>
      </c>
      <c r="R81" s="366">
        <f>(('Methane Leakage'!$C$6/'Methane Leakage'!$C$5)*102*'Emissions Factors'!$C$38*'Calcs - Power'!$B80+'Emissions Factors'!$C$37*('Calcs - Power'!$C80+'Calcs - Power'!$D80+'Calcs - Power'!$E80+'Calcs - Power'!$F80))</f>
        <v>891632.91625067976</v>
      </c>
      <c r="S81" s="359">
        <f>(('Methane Leakage'!$C$6/'Methane Leakage'!$C$5)*102*'Emissions Factors'!$D$38*'Calcs - Power'!$G80+'Emissions Factors'!$D$37*('Calcs - Power'!$H80+'Calcs - Power'!$I80+'Calcs - Power'!$J80+'Calcs - Power'!$K80))</f>
        <v>21154.599654110287</v>
      </c>
      <c r="T81" s="366">
        <f>(('Methane Leakage'!$C$6/'Methane Leakage'!$C$5)*102*'Emissions Factors'!$D$38*'Calcs - Power'!$B80+'Emissions Factors'!$D$37*('Calcs - Power'!$C80+'Calcs - Power'!$D80+'Calcs - Power'!$E80+'Calcs - Power'!$F80))</f>
        <v>891632.91625067976</v>
      </c>
      <c r="U81" s="361">
        <f>(102*'Emissions Factors'!$C$36*'Calcs - Power'!$G80+'Emissions Factors'!$C$35*('Calcs - Power'!$H80+'Calcs - Power'!$I80+'Calcs - Power'!$J80+'Calcs - Power'!$K80))</f>
        <v>36131.192517554657</v>
      </c>
      <c r="V81" s="366">
        <f>(102*'Emissions Factors'!$C$36*'Calcs - Power'!$B80+'Emissions Factors'!$C$35*('Calcs - Power'!$C80+'Calcs - Power'!$D80+'Calcs - Power'!$E80+'Calcs - Power'!$F80))</f>
        <v>1413680.6518055752</v>
      </c>
      <c r="W81" s="359">
        <f>(102*'Emissions Factors'!$D$36*'Calcs - Power'!$G80+'Emissions Factors'!$D$35*('Calcs - Power'!$H80+'Calcs - Power'!$I80+'Calcs - Power'!$J80+'Calcs - Power'!$K80))</f>
        <v>36131.192517554657</v>
      </c>
      <c r="X81" s="366">
        <f>(102*'Emissions Factors'!$D$36*'Calcs - Power'!$B80+'Emissions Factors'!$D$35*('Calcs - Power'!$C80+'Calcs - Power'!$D80+'Calcs - Power'!$E80+'Calcs - Power'!$F80))</f>
        <v>1413680.6518055752</v>
      </c>
      <c r="Y81" s="359">
        <f>(102*'Emissions Factors'!$C$38*'Calcs - Power'!$G80+'Emissions Factors'!$C$37*('Calcs - Power'!$H80+'Calcs - Power'!$I80+'Calcs - Power'!$J80+'Calcs - Power'!$K80))</f>
        <v>21154.599654110287</v>
      </c>
      <c r="Z81" s="366">
        <f>(102*'Emissions Factors'!$C$38*'Calcs - Power'!$B80+'Emissions Factors'!$C$37*('Calcs - Power'!$C80+'Calcs - Power'!$D80+'Calcs - Power'!$E80+'Calcs - Power'!$F80))</f>
        <v>891632.91625067976</v>
      </c>
      <c r="AA81" s="359">
        <f>(102*'Emissions Factors'!$C$36*'Calcs - Power'!$G80+'Emissions Factors'!$C$35*('Calcs - Power'!$H80+'Calcs - Power'!$I80+'Calcs - Power'!$J80+'Calcs - Power'!$K80))</f>
        <v>36131.192517554657</v>
      </c>
      <c r="AB81" s="366">
        <f>(102*'Emissions Factors'!$C$36*'Calcs - Power'!$B80+'Emissions Factors'!$C$35*('Calcs - Power'!$C80+'Calcs - Power'!$D80+'Calcs - Power'!$E80+'Calcs - Power'!$F80))</f>
        <v>1413680.6518055752</v>
      </c>
      <c r="AI81" s="358">
        <f t="shared" si="22"/>
        <v>69</v>
      </c>
      <c r="AJ81" s="359">
        <f>(('Methane Leakage'!$G$6/'Methane Leakage'!$G$5)*102*'Emissions Factors'!$D$10*'Calcs - Power'!$G80+'Emissions Factors'!$D$11*('Calcs - Power'!$H80+'Calcs - Power'!$I80+'Calcs - Power'!$J80+'Calcs - Power'!$K80))</f>
        <v>2973.7175594454775</v>
      </c>
      <c r="AK81" s="366">
        <f>(('Methane Leakage'!$G$6/'Methane Leakage'!$G$5)*102*'Emissions Factors'!$D$10*'Calcs - Power'!$B80+'Emissions Factors'!$D$11*('Calcs - Power'!$C80+'Calcs - Power'!$D80+'Calcs - Power'!$E80+'Calcs - Power'!$F80))</f>
        <v>128341.12277066273</v>
      </c>
      <c r="AL81" s="359">
        <f>(102*'Emissions Factors'!$E$10*'Calcs - Power'!$G80+'Emissions Factors'!$E$11*('Calcs - Power'!H80+'Calcs - Power'!I80+'Calcs - Power'!J80+'Calcs - Power'!K80))</f>
        <v>3235.0741777997068</v>
      </c>
      <c r="AM81" s="366">
        <f>(102*'Emissions Factors'!$E$10*'Calcs - Power'!$B80+'Emissions Factors'!$E$11*('Calcs - Power'!C80+'Calcs - Power'!D80+'Calcs - Power'!E80+'Calcs - Power'!F80))</f>
        <v>127388.80238356144</v>
      </c>
      <c r="AN81" s="359">
        <f>(102*'Emissions Factors'!$D$10*'Calcs - Power'!$G80+'Emissions Factors'!$D$11*('Calcs - Power'!$H80+'Calcs - Power'!$I80+'Calcs - Power'!$J80+'Calcs - Power'!$K80))</f>
        <v>2973.7175594454775</v>
      </c>
      <c r="AO81" s="366">
        <f>(102*'Emissions Factors'!$D$10*'Calcs - Power'!$B80+'Emissions Factors'!$D$11*('Calcs - Power'!$C80+'Calcs - Power'!$D80+'Calcs - Power'!$E80+'Calcs - Power'!$F80))</f>
        <v>128341.12277066273</v>
      </c>
      <c r="AP81" s="367">
        <f>(102*'Emissions Factors'!$E$10*'Calcs - Power'!$G80+'Emissions Factors'!$E$11*('Calcs - Power'!H80+'Calcs - Power'!I80+'Calcs - Power'!J80+'Calcs - Power'!K80))</f>
        <v>3235.0741777997068</v>
      </c>
      <c r="AQ81" s="366">
        <f>(102*'Emissions Factors'!$E$10*'Calcs - Power'!$B80+'Emissions Factors'!$E$11*('Calcs - Power'!C80+'Calcs - Power'!D80+'Calcs - Power'!E80+'Calcs - Power'!F80))</f>
        <v>127388.80238356144</v>
      </c>
      <c r="AS81" s="357"/>
      <c r="AT81" s="357"/>
      <c r="AU81" s="357"/>
      <c r="AV81" s="357"/>
      <c r="AX81" s="358">
        <f t="shared" si="23"/>
        <v>69</v>
      </c>
      <c r="AY81" s="359">
        <f>(('Methane Leakage'!$G$6/'Methane Leakage'!$G$5)*102*'Emissions Factors'!$F$10*'Calcs - Power'!$G80+'Emissions Factors'!$F$11*('Calcs - Power'!$H80+'Calcs - Power'!$I80+'Calcs - Power'!$J80+'Calcs - Power'!$K80))</f>
        <v>3981327.8778834804</v>
      </c>
      <c r="AZ81" s="366">
        <f>(('Methane Leakage'!$G$6/'Methane Leakage'!$G$5)*102*'Emissions Factors'!$F$10*'Calcs - Power'!$B80+'Emissions Factors'!$F$11*('Calcs - Power'!$C80+'Calcs - Power'!$D80+'Calcs - Power'!$E80+'Calcs - Power'!$F80))</f>
        <v>167545032.50187403</v>
      </c>
      <c r="BA81" s="359">
        <f>(102*'Emissions Factors'!$G$10*'Calcs - Power'!$G80+'Emissions Factors'!$G$11*('Calcs - Power'!H80+'Calcs - Power'!I80+'Calcs - Power'!J80+'Calcs - Power'!K80))</f>
        <v>3725526.8617626317</v>
      </c>
      <c r="BB81" s="366">
        <f>(102*'Emissions Factors'!$G$10*'Calcs - Power'!$B80+'Emissions Factors'!$G$11*('Calcs - Power'!C80+'Calcs - Power'!D80+'Calcs - Power'!E80+'Calcs - Power'!F80))</f>
        <v>146211596.58826599</v>
      </c>
      <c r="BC81" s="359">
        <f>(102*'Emissions Factors'!$F$10*'Calcs - Power'!$G80+'Emissions Factors'!$F$11*('Calcs - Power'!$H80+'Calcs - Power'!$I80+'Calcs - Power'!$J80+'Calcs - Power'!$K80))</f>
        <v>3981327.8778834804</v>
      </c>
      <c r="BD81" s="366">
        <f>(102*'Emissions Factors'!$F$10*'Calcs - Power'!$B80+'Emissions Factors'!$F$11*('Calcs - Power'!$C80+'Calcs - Power'!$D80+'Calcs - Power'!$E80+'Calcs - Power'!$F80))</f>
        <v>167545032.50187403</v>
      </c>
      <c r="BE81" s="359">
        <f>(102*'Emissions Factors'!$G$10*'Calcs - Power'!$G80+'Emissions Factors'!$G$11*('Calcs - Power'!H80+'Calcs - Power'!I80+'Calcs - Power'!J80+'Calcs - Power'!K80))</f>
        <v>3725526.8617626317</v>
      </c>
      <c r="BF81" s="366">
        <f>(102*'Emissions Factors'!$G$10*'Calcs - Power'!$B80+'Emissions Factors'!$G$11*('Calcs - Power'!C80+'Calcs - Power'!D80+'Calcs - Power'!E80+'Calcs - Power'!F80))</f>
        <v>146211596.58826599</v>
      </c>
    </row>
    <row r="82" spans="1:58" x14ac:dyDescent="0.3">
      <c r="A82" s="351">
        <f t="shared" si="20"/>
        <v>70</v>
      </c>
      <c r="B82" s="352">
        <f t="shared" si="14"/>
        <v>0.99999999999999989</v>
      </c>
      <c r="C82" s="363">
        <f t="shared" si="15"/>
        <v>1</v>
      </c>
      <c r="D82" s="352">
        <f t="shared" si="16"/>
        <v>1</v>
      </c>
      <c r="E82" s="364">
        <f t="shared" si="17"/>
        <v>1</v>
      </c>
      <c r="F82" s="364">
        <f t="shared" si="18"/>
        <v>1</v>
      </c>
      <c r="G82" s="365">
        <f t="shared" si="19"/>
        <v>1</v>
      </c>
      <c r="P82" s="358">
        <f t="shared" si="21"/>
        <v>70</v>
      </c>
      <c r="Q82" s="359">
        <f>(('Methane Leakage'!$C$6/'Methane Leakage'!$C$5)*102*'Emissions Factors'!$C$38*'Calcs - Power'!$G81+'Emissions Factors'!$C$37*('Calcs - Power'!$H81+'Calcs - Power'!$I81+'Calcs - Power'!$J81+'Calcs - Power'!$K81))</f>
        <v>21345.20955624228</v>
      </c>
      <c r="R82" s="366">
        <f>(('Methane Leakage'!$C$6/'Methane Leakage'!$C$5)*102*'Emissions Factors'!$C$38*'Calcs - Power'!$B81+'Emissions Factors'!$C$37*('Calcs - Power'!$C81+'Calcs - Power'!$D81+'Calcs - Power'!$E81+'Calcs - Power'!$F81))</f>
        <v>912882.88466476602</v>
      </c>
      <c r="S82" s="359">
        <f>(('Methane Leakage'!$C$6/'Methane Leakage'!$C$5)*102*'Emissions Factors'!$D$38*'Calcs - Power'!$G81+'Emissions Factors'!$D$37*('Calcs - Power'!$H81+'Calcs - Power'!$I81+'Calcs - Power'!$J81+'Calcs - Power'!$K81))</f>
        <v>21345.20955624228</v>
      </c>
      <c r="T82" s="366">
        <f>(('Methane Leakage'!$C$6/'Methane Leakage'!$C$5)*102*'Emissions Factors'!$D$38*'Calcs - Power'!$B81+'Emissions Factors'!$D$37*('Calcs - Power'!$C81+'Calcs - Power'!$D81+'Calcs - Power'!$E81+'Calcs - Power'!$F81))</f>
        <v>912882.88466476602</v>
      </c>
      <c r="U82" s="361">
        <f>(102*'Emissions Factors'!$C$36*'Calcs - Power'!$G81+'Emissions Factors'!$C$35*('Calcs - Power'!$H81+'Calcs - Power'!$I81+'Calcs - Power'!$J81+'Calcs - Power'!$K81))</f>
        <v>36520.174407094099</v>
      </c>
      <c r="V82" s="366">
        <f>(102*'Emissions Factors'!$C$36*'Calcs - Power'!$B81+'Emissions Factors'!$C$35*('Calcs - Power'!$C81+'Calcs - Power'!$D81+'Calcs - Power'!$E81+'Calcs - Power'!$F81))</f>
        <v>1450006.453260808</v>
      </c>
      <c r="W82" s="359">
        <f>(102*'Emissions Factors'!$D$36*'Calcs - Power'!$G81+'Emissions Factors'!$D$35*('Calcs - Power'!$H81+'Calcs - Power'!$I81+'Calcs - Power'!$J81+'Calcs - Power'!$K81))</f>
        <v>36520.174407094099</v>
      </c>
      <c r="X82" s="366">
        <f>(102*'Emissions Factors'!$D$36*'Calcs - Power'!$B81+'Emissions Factors'!$D$35*('Calcs - Power'!$C81+'Calcs - Power'!$D81+'Calcs - Power'!$E81+'Calcs - Power'!$F81))</f>
        <v>1450006.453260808</v>
      </c>
      <c r="Y82" s="359">
        <f>(102*'Emissions Factors'!$C$38*'Calcs - Power'!$G81+'Emissions Factors'!$C$37*('Calcs - Power'!$H81+'Calcs - Power'!$I81+'Calcs - Power'!$J81+'Calcs - Power'!$K81))</f>
        <v>21345.20955624228</v>
      </c>
      <c r="Z82" s="366">
        <f>(102*'Emissions Factors'!$C$38*'Calcs - Power'!$B81+'Emissions Factors'!$C$37*('Calcs - Power'!$C81+'Calcs - Power'!$D81+'Calcs - Power'!$E81+'Calcs - Power'!$F81))</f>
        <v>912882.88466476602</v>
      </c>
      <c r="AA82" s="359">
        <f>(102*'Emissions Factors'!$C$36*'Calcs - Power'!$G81+'Emissions Factors'!$C$35*('Calcs - Power'!$H81+'Calcs - Power'!$I81+'Calcs - Power'!$J81+'Calcs - Power'!$K81))</f>
        <v>36520.174407094099</v>
      </c>
      <c r="AB82" s="366">
        <f>(102*'Emissions Factors'!$C$36*'Calcs - Power'!$B81+'Emissions Factors'!$C$35*('Calcs - Power'!$C81+'Calcs - Power'!$D81+'Calcs - Power'!$E81+'Calcs - Power'!$F81))</f>
        <v>1450006.453260808</v>
      </c>
      <c r="AI82" s="358">
        <f t="shared" si="22"/>
        <v>70</v>
      </c>
      <c r="AJ82" s="359">
        <f>(('Methane Leakage'!$G$6/'Methane Leakage'!$G$5)*102*'Emissions Factors'!$D$10*'Calcs - Power'!$G81+'Emissions Factors'!$D$11*('Calcs - Power'!$H81+'Calcs - Power'!$I81+'Calcs - Power'!$J81+'Calcs - Power'!$K81))</f>
        <v>2998.7669691653387</v>
      </c>
      <c r="AK82" s="366">
        <f>(('Methane Leakage'!$G$6/'Methane Leakage'!$G$5)*102*'Emissions Factors'!$D$10*'Calcs - Power'!$B81+'Emissions Factors'!$D$11*('Calcs - Power'!$C81+'Calcs - Power'!$D81+'Calcs - Power'!$E81+'Calcs - Power'!$F81))</f>
        <v>131327.37375679088</v>
      </c>
      <c r="AL82" s="359">
        <f>(102*'Emissions Factors'!$E$10*'Calcs - Power'!$G81+'Emissions Factors'!$E$11*('Calcs - Power'!H81+'Calcs - Power'!I81+'Calcs - Power'!J81+'Calcs - Power'!K81))</f>
        <v>3269.4305779202214</v>
      </c>
      <c r="AM82" s="366">
        <f>(102*'Emissions Factors'!$E$10*'Calcs - Power'!$B81+'Emissions Factors'!$E$11*('Calcs - Power'!C81+'Calcs - Power'!D81+'Calcs - Power'!E81+'Calcs - Power'!F81))</f>
        <v>130641.0652591158</v>
      </c>
      <c r="AN82" s="359">
        <f>(102*'Emissions Factors'!$D$10*'Calcs - Power'!$G81+'Emissions Factors'!$D$11*('Calcs - Power'!$H81+'Calcs - Power'!$I81+'Calcs - Power'!$J81+'Calcs - Power'!$K81))</f>
        <v>2998.7669691653387</v>
      </c>
      <c r="AO82" s="366">
        <f>(102*'Emissions Factors'!$D$10*'Calcs - Power'!$B81+'Emissions Factors'!$D$11*('Calcs - Power'!$C81+'Calcs - Power'!$D81+'Calcs - Power'!$E81+'Calcs - Power'!$F81))</f>
        <v>131327.37375679088</v>
      </c>
      <c r="AP82" s="367">
        <f>(102*'Emissions Factors'!$E$10*'Calcs - Power'!$G81+'Emissions Factors'!$E$11*('Calcs - Power'!H81+'Calcs - Power'!I81+'Calcs - Power'!J81+'Calcs - Power'!K81))</f>
        <v>3269.4305779202214</v>
      </c>
      <c r="AQ82" s="366">
        <f>(102*'Emissions Factors'!$E$10*'Calcs - Power'!$B81+'Emissions Factors'!$E$11*('Calcs - Power'!C81+'Calcs - Power'!D81+'Calcs - Power'!E81+'Calcs - Power'!F81))</f>
        <v>130641.0652591158</v>
      </c>
      <c r="AS82" s="357"/>
      <c r="AT82" s="357"/>
      <c r="AU82" s="357"/>
      <c r="AV82" s="357"/>
      <c r="AX82" s="358">
        <f t="shared" si="23"/>
        <v>70</v>
      </c>
      <c r="AY82" s="359">
        <f>(('Methane Leakage'!$G$6/'Methane Leakage'!$G$5)*102*'Emissions Factors'!$F$10*'Calcs - Power'!$G81+'Emissions Factors'!$F$11*('Calcs - Power'!$H81+'Calcs - Power'!$I81+'Calcs - Power'!$J81+'Calcs - Power'!$K81))</f>
        <v>4017352.9347980046</v>
      </c>
      <c r="AZ82" s="366">
        <f>(('Methane Leakage'!$G$6/'Methane Leakage'!$G$5)*102*'Emissions Factors'!$F$10*'Calcs - Power'!$B81+'Emissions Factors'!$F$11*('Calcs - Power'!$C81+'Calcs - Power'!$D81+'Calcs - Power'!$E81+'Calcs - Power'!$F81))</f>
        <v>171544384.9387379</v>
      </c>
      <c r="BA82" s="359">
        <f>(102*'Emissions Factors'!$G$10*'Calcs - Power'!$G81+'Emissions Factors'!$G$11*('Calcs - Power'!H81+'Calcs - Power'!I81+'Calcs - Power'!J81+'Calcs - Power'!K81))</f>
        <v>3765376.4642151445</v>
      </c>
      <c r="BB82" s="366">
        <f>(102*'Emissions Factors'!$G$10*'Calcs - Power'!$B81+'Emissions Factors'!$G$11*('Calcs - Power'!C81+'Calcs - Power'!D81+'Calcs - Power'!E81+'Calcs - Power'!F81))</f>
        <v>149957060.38087821</v>
      </c>
      <c r="BC82" s="359">
        <f>(102*'Emissions Factors'!$F$10*'Calcs - Power'!$G81+'Emissions Factors'!$F$11*('Calcs - Power'!$H81+'Calcs - Power'!$I81+'Calcs - Power'!$J81+'Calcs - Power'!$K81))</f>
        <v>4017352.9347980046</v>
      </c>
      <c r="BD82" s="366">
        <f>(102*'Emissions Factors'!$F$10*'Calcs - Power'!$B81+'Emissions Factors'!$F$11*('Calcs - Power'!$C81+'Calcs - Power'!$D81+'Calcs - Power'!$E81+'Calcs - Power'!$F81))</f>
        <v>171544384.9387379</v>
      </c>
      <c r="BE82" s="359">
        <f>(102*'Emissions Factors'!$G$10*'Calcs - Power'!$G81+'Emissions Factors'!$G$11*('Calcs - Power'!H81+'Calcs - Power'!I81+'Calcs - Power'!J81+'Calcs - Power'!K81))</f>
        <v>3765376.4642151445</v>
      </c>
      <c r="BF82" s="366">
        <f>(102*'Emissions Factors'!$G$10*'Calcs - Power'!$B81+'Emissions Factors'!$G$11*('Calcs - Power'!C81+'Calcs - Power'!D81+'Calcs - Power'!E81+'Calcs - Power'!F81))</f>
        <v>149957060.38087821</v>
      </c>
    </row>
    <row r="83" spans="1:58" x14ac:dyDescent="0.3">
      <c r="A83" s="351">
        <f t="shared" si="20"/>
        <v>71</v>
      </c>
      <c r="B83" s="352">
        <f t="shared" si="14"/>
        <v>1</v>
      </c>
      <c r="C83" s="363">
        <f t="shared" si="15"/>
        <v>1</v>
      </c>
      <c r="D83" s="352">
        <f t="shared" si="16"/>
        <v>1</v>
      </c>
      <c r="E83" s="364">
        <f t="shared" si="17"/>
        <v>1</v>
      </c>
      <c r="F83" s="364">
        <f t="shared" si="18"/>
        <v>1</v>
      </c>
      <c r="G83" s="365">
        <f t="shared" si="19"/>
        <v>1</v>
      </c>
      <c r="P83" s="358">
        <f t="shared" si="21"/>
        <v>71</v>
      </c>
      <c r="Q83" s="359">
        <f>(('Methane Leakage'!$C$6/'Methane Leakage'!$C$5)*102*'Emissions Factors'!$C$38*'Calcs - Power'!$G82+'Emissions Factors'!$C$37*('Calcs - Power'!$H82+'Calcs - Power'!$I82+'Calcs - Power'!$J82+'Calcs - Power'!$K82))</f>
        <v>21535.063955599209</v>
      </c>
      <c r="R83" s="366">
        <f>(('Methane Leakage'!$C$6/'Methane Leakage'!$C$5)*102*'Emissions Factors'!$C$38*'Calcs - Power'!$B82+'Emissions Factors'!$C$37*('Calcs - Power'!$C82+'Calcs - Power'!$D82+'Calcs - Power'!$E82+'Calcs - Power'!$F82))</f>
        <v>934323.08354180143</v>
      </c>
      <c r="S83" s="359">
        <f>(('Methane Leakage'!$C$6/'Methane Leakage'!$C$5)*102*'Emissions Factors'!$D$38*'Calcs - Power'!$G82+'Emissions Factors'!$D$37*('Calcs - Power'!$H82+'Calcs - Power'!$I82+'Calcs - Power'!$J82+'Calcs - Power'!$K82))</f>
        <v>21535.063955599209</v>
      </c>
      <c r="T83" s="366">
        <f>(('Methane Leakage'!$C$6/'Methane Leakage'!$C$5)*102*'Emissions Factors'!$D$38*'Calcs - Power'!$B82+'Emissions Factors'!$D$37*('Calcs - Power'!$C82+'Calcs - Power'!$D82+'Calcs - Power'!$E82+'Calcs - Power'!$F82))</f>
        <v>934323.08354180143</v>
      </c>
      <c r="U83" s="361">
        <f>(102*'Emissions Factors'!$C$36*'Calcs - Power'!$G82+'Emissions Factors'!$C$35*('Calcs - Power'!$H82+'Calcs - Power'!$I82+'Calcs - Power'!$J82+'Calcs - Power'!$K82))</f>
        <v>36907.755075141715</v>
      </c>
      <c r="V83" s="366">
        <f>(102*'Emissions Factors'!$C$36*'Calcs - Power'!$B82+'Emissions Factors'!$C$35*('Calcs - Power'!$C82+'Calcs - Power'!$D82+'Calcs - Power'!$E82+'Calcs - Power'!$F82))</f>
        <v>1486720.5335609666</v>
      </c>
      <c r="W83" s="359">
        <f>(102*'Emissions Factors'!$D$36*'Calcs - Power'!$G82+'Emissions Factors'!$D$35*('Calcs - Power'!$H82+'Calcs - Power'!$I82+'Calcs - Power'!$J82+'Calcs - Power'!$K82))</f>
        <v>36907.755075141715</v>
      </c>
      <c r="X83" s="366">
        <f>(102*'Emissions Factors'!$D$36*'Calcs - Power'!$B82+'Emissions Factors'!$D$35*('Calcs - Power'!$C82+'Calcs - Power'!$D82+'Calcs - Power'!$E82+'Calcs - Power'!$F82))</f>
        <v>1486720.5335609666</v>
      </c>
      <c r="Y83" s="359">
        <f>(102*'Emissions Factors'!$C$38*'Calcs - Power'!$G82+'Emissions Factors'!$C$37*('Calcs - Power'!$H82+'Calcs - Power'!$I82+'Calcs - Power'!$J82+'Calcs - Power'!$K82))</f>
        <v>21535.063955599209</v>
      </c>
      <c r="Z83" s="366">
        <f>(102*'Emissions Factors'!$C$38*'Calcs - Power'!$B82+'Emissions Factors'!$C$37*('Calcs - Power'!$C82+'Calcs - Power'!$D82+'Calcs - Power'!$E82+'Calcs - Power'!$F82))</f>
        <v>934323.08354180143</v>
      </c>
      <c r="AA83" s="359">
        <f>(102*'Emissions Factors'!$C$36*'Calcs - Power'!$G82+'Emissions Factors'!$C$35*('Calcs - Power'!$H82+'Calcs - Power'!$I82+'Calcs - Power'!$J82+'Calcs - Power'!$K82))</f>
        <v>36907.755075141715</v>
      </c>
      <c r="AB83" s="366">
        <f>(102*'Emissions Factors'!$C$36*'Calcs - Power'!$B82+'Emissions Factors'!$C$35*('Calcs - Power'!$C82+'Calcs - Power'!$D82+'Calcs - Power'!$E82+'Calcs - Power'!$F82))</f>
        <v>1486720.5335609666</v>
      </c>
      <c r="AI83" s="358">
        <f t="shared" si="22"/>
        <v>71</v>
      </c>
      <c r="AJ83" s="359">
        <f>(('Methane Leakage'!$G$6/'Methane Leakage'!$G$5)*102*'Emissions Factors'!$D$10*'Calcs - Power'!$G82+'Emissions Factors'!$D$11*('Calcs - Power'!$H82+'Calcs - Power'!$I82+'Calcs - Power'!$J82+'Calcs - Power'!$K82))</f>
        <v>3023.7132266458993</v>
      </c>
      <c r="AK83" s="366">
        <f>(('Methane Leakage'!$G$6/'Methane Leakage'!$G$5)*102*'Emissions Factors'!$D$10*'Calcs - Power'!$B82+'Emissions Factors'!$D$11*('Calcs - Power'!$C82+'Calcs - Power'!$D82+'Calcs - Power'!$E82+'Calcs - Power'!$F82))</f>
        <v>134338.6223269187</v>
      </c>
      <c r="AL83" s="359">
        <f>(102*'Emissions Factors'!$E$10*'Calcs - Power'!$G82+'Emissions Factors'!$E$11*('Calcs - Power'!H82+'Calcs - Power'!I82+'Calcs - Power'!J82+'Calcs - Power'!K82))</f>
        <v>3303.6623416536363</v>
      </c>
      <c r="AM83" s="366">
        <f>(102*'Emissions Factors'!$E$10*'Calcs - Power'!$B82+'Emissions Factors'!$E$11*('Calcs - Power'!C82+'Calcs - Power'!D82+'Calcs - Power'!E82+'Calcs - Power'!F82))</f>
        <v>133927.6219953376</v>
      </c>
      <c r="AN83" s="359">
        <f>(102*'Emissions Factors'!$D$10*'Calcs - Power'!$G82+'Emissions Factors'!$D$11*('Calcs - Power'!$H82+'Calcs - Power'!$I82+'Calcs - Power'!$J82+'Calcs - Power'!$K82))</f>
        <v>3023.7132266458993</v>
      </c>
      <c r="AO83" s="366">
        <f>(102*'Emissions Factors'!$D$10*'Calcs - Power'!$B82+'Emissions Factors'!$D$11*('Calcs - Power'!$C82+'Calcs - Power'!$D82+'Calcs - Power'!$E82+'Calcs - Power'!$F82))</f>
        <v>134338.6223269187</v>
      </c>
      <c r="AP83" s="367">
        <f>(102*'Emissions Factors'!$E$10*'Calcs - Power'!$G82+'Emissions Factors'!$E$11*('Calcs - Power'!H82+'Calcs - Power'!I82+'Calcs - Power'!J82+'Calcs - Power'!K82))</f>
        <v>3303.6623416536363</v>
      </c>
      <c r="AQ83" s="366">
        <f>(102*'Emissions Factors'!$E$10*'Calcs - Power'!$B82+'Emissions Factors'!$E$11*('Calcs - Power'!C82+'Calcs - Power'!D82+'Calcs - Power'!E82+'Calcs - Power'!F82))</f>
        <v>133927.6219953376</v>
      </c>
      <c r="AS83" s="357"/>
      <c r="AT83" s="357"/>
      <c r="AU83" s="357"/>
      <c r="AV83" s="357"/>
      <c r="AX83" s="358">
        <f t="shared" si="23"/>
        <v>71</v>
      </c>
      <c r="AY83" s="359">
        <f>(('Methane Leakage'!$G$6/'Methane Leakage'!$G$5)*102*'Emissions Factors'!$F$10*'Calcs - Power'!$G82+'Emissions Factors'!$F$11*('Calcs - Power'!$H82+'Calcs - Power'!$I82+'Calcs - Power'!$J82+'Calcs - Power'!$K82))</f>
        <v>4053235.5393174645</v>
      </c>
      <c r="AZ83" s="366">
        <f>(('Methane Leakage'!$G$6/'Methane Leakage'!$G$5)*102*'Emissions Factors'!$F$10*'Calcs - Power'!$B82+'Emissions Factors'!$F$11*('Calcs - Power'!$C82+'Calcs - Power'!$D82+'Calcs - Power'!$E82+'Calcs - Power'!$F82))</f>
        <v>175579690.88974854</v>
      </c>
      <c r="BA83" s="359">
        <f>(102*'Emissions Factors'!$G$10*'Calcs - Power'!$G82+'Emissions Factors'!$G$11*('Calcs - Power'!H82+'Calcs - Power'!I82+'Calcs - Power'!J82+'Calcs - Power'!K82))</f>
        <v>3805082.0373973874</v>
      </c>
      <c r="BB83" s="366">
        <f>(102*'Emissions Factors'!$G$10*'Calcs - Power'!$B82+'Emissions Factors'!$G$11*('Calcs - Power'!C82+'Calcs - Power'!D82+'Calcs - Power'!E82+'Calcs - Power'!F82))</f>
        <v>153742301.50851816</v>
      </c>
      <c r="BC83" s="359">
        <f>(102*'Emissions Factors'!$F$10*'Calcs - Power'!$G82+'Emissions Factors'!$F$11*('Calcs - Power'!$H82+'Calcs - Power'!$I82+'Calcs - Power'!$J82+'Calcs - Power'!$K82))</f>
        <v>4053235.5393174645</v>
      </c>
      <c r="BD83" s="366">
        <f>(102*'Emissions Factors'!$F$10*'Calcs - Power'!$B82+'Emissions Factors'!$F$11*('Calcs - Power'!$C82+'Calcs - Power'!$D82+'Calcs - Power'!$E82+'Calcs - Power'!$F82))</f>
        <v>175579690.88974854</v>
      </c>
      <c r="BE83" s="359">
        <f>(102*'Emissions Factors'!$G$10*'Calcs - Power'!$G82+'Emissions Factors'!$G$11*('Calcs - Power'!H82+'Calcs - Power'!I82+'Calcs - Power'!J82+'Calcs - Power'!K82))</f>
        <v>3805082.0373973874</v>
      </c>
      <c r="BF83" s="366">
        <f>(102*'Emissions Factors'!$G$10*'Calcs - Power'!$B82+'Emissions Factors'!$G$11*('Calcs - Power'!C82+'Calcs - Power'!D82+'Calcs - Power'!E82+'Calcs - Power'!F82))</f>
        <v>153742301.50851816</v>
      </c>
    </row>
    <row r="84" spans="1:58" x14ac:dyDescent="0.3">
      <c r="A84" s="351">
        <f t="shared" si="20"/>
        <v>72</v>
      </c>
      <c r="B84" s="352">
        <f t="shared" si="14"/>
        <v>0.99999999999999989</v>
      </c>
      <c r="C84" s="363">
        <f t="shared" si="15"/>
        <v>0.99999999999999989</v>
      </c>
      <c r="D84" s="352">
        <f t="shared" si="16"/>
        <v>1</v>
      </c>
      <c r="E84" s="364">
        <f t="shared" si="17"/>
        <v>1</v>
      </c>
      <c r="F84" s="364">
        <f t="shared" si="18"/>
        <v>1</v>
      </c>
      <c r="G84" s="365">
        <f t="shared" si="19"/>
        <v>1</v>
      </c>
      <c r="P84" s="358">
        <f t="shared" si="21"/>
        <v>72</v>
      </c>
      <c r="Q84" s="359">
        <f>(('Methane Leakage'!$C$6/'Methane Leakage'!$C$5)*102*'Emissions Factors'!$C$38*'Calcs - Power'!$G83+'Emissions Factors'!$C$37*('Calcs - Power'!$H83+'Calcs - Power'!$I83+'Calcs - Power'!$J83+'Calcs - Power'!$K83))</f>
        <v>21724.182539498455</v>
      </c>
      <c r="R84" s="366">
        <f>(('Methane Leakage'!$C$6/'Methane Leakage'!$C$5)*102*'Emissions Factors'!$C$38*'Calcs - Power'!$B83+'Emissions Factors'!$C$37*('Calcs - Power'!$C83+'Calcs - Power'!$D83+'Calcs - Power'!$E83+'Calcs - Power'!$F83))</f>
        <v>955952.76731619867</v>
      </c>
      <c r="S84" s="359">
        <f>(('Methane Leakage'!$C$6/'Methane Leakage'!$C$5)*102*'Emissions Factors'!$D$38*'Calcs - Power'!$G83+'Emissions Factors'!$D$37*('Calcs - Power'!$H83+'Calcs - Power'!$I83+'Calcs - Power'!$J83+'Calcs - Power'!$K83))</f>
        <v>21724.182539498455</v>
      </c>
      <c r="T84" s="366">
        <f>(('Methane Leakage'!$C$6/'Methane Leakage'!$C$5)*102*'Emissions Factors'!$D$38*'Calcs - Power'!$B83+'Emissions Factors'!$D$37*('Calcs - Power'!$C83+'Calcs - Power'!$D83+'Calcs - Power'!$E83+'Calcs - Power'!$F83))</f>
        <v>955952.76731619867</v>
      </c>
      <c r="U84" s="361">
        <f>(102*'Emissions Factors'!$C$36*'Calcs - Power'!$G83+'Emissions Factors'!$C$35*('Calcs - Power'!$H83+'Calcs - Power'!$I83+'Calcs - Power'!$J83+'Calcs - Power'!$K83))</f>
        <v>37293.96306518541</v>
      </c>
      <c r="V84" s="366">
        <f>(102*'Emissions Factors'!$C$36*'Calcs - Power'!$B83+'Emissions Factors'!$C$35*('Calcs - Power'!$C83+'Calcs - Power'!$D83+'Calcs - Power'!$E83+'Calcs - Power'!$F83))</f>
        <v>1523821.5058659757</v>
      </c>
      <c r="W84" s="359">
        <f>(102*'Emissions Factors'!$D$36*'Calcs - Power'!$G83+'Emissions Factors'!$D$35*('Calcs - Power'!$H83+'Calcs - Power'!$I83+'Calcs - Power'!$J83+'Calcs - Power'!$K83))</f>
        <v>37293.96306518541</v>
      </c>
      <c r="X84" s="366">
        <f>(102*'Emissions Factors'!$D$36*'Calcs - Power'!$B83+'Emissions Factors'!$D$35*('Calcs - Power'!$C83+'Calcs - Power'!$D83+'Calcs - Power'!$E83+'Calcs - Power'!$F83))</f>
        <v>1523821.5058659757</v>
      </c>
      <c r="Y84" s="359">
        <f>(102*'Emissions Factors'!$C$38*'Calcs - Power'!$G83+'Emissions Factors'!$C$37*('Calcs - Power'!$H83+'Calcs - Power'!$I83+'Calcs - Power'!$J83+'Calcs - Power'!$K83))</f>
        <v>21724.182539498455</v>
      </c>
      <c r="Z84" s="366">
        <f>(102*'Emissions Factors'!$C$38*'Calcs - Power'!$B83+'Emissions Factors'!$C$37*('Calcs - Power'!$C83+'Calcs - Power'!$D83+'Calcs - Power'!$E83+'Calcs - Power'!$F83))</f>
        <v>955952.76731619867</v>
      </c>
      <c r="AA84" s="359">
        <f>(102*'Emissions Factors'!$C$36*'Calcs - Power'!$G83+'Emissions Factors'!$C$35*('Calcs - Power'!$H83+'Calcs - Power'!$I83+'Calcs - Power'!$J83+'Calcs - Power'!$K83))</f>
        <v>37293.96306518541</v>
      </c>
      <c r="AB84" s="366">
        <f>(102*'Emissions Factors'!$C$36*'Calcs - Power'!$B83+'Emissions Factors'!$C$35*('Calcs - Power'!$C83+'Calcs - Power'!$D83+'Calcs - Power'!$E83+'Calcs - Power'!$F83))</f>
        <v>1523821.5058659757</v>
      </c>
      <c r="AI84" s="358">
        <f t="shared" si="22"/>
        <v>72</v>
      </c>
      <c r="AJ84" s="359">
        <f>(('Methane Leakage'!$G$6/'Methane Leakage'!$G$5)*102*'Emissions Factors'!$D$10*'Calcs - Power'!$G83+'Emissions Factors'!$D$11*('Calcs - Power'!$H83+'Calcs - Power'!$I83+'Calcs - Power'!$J83+'Calcs - Power'!$K83))</f>
        <v>3048.5592391327</v>
      </c>
      <c r="AK84" s="366">
        <f>(('Methane Leakage'!$G$6/'Methane Leakage'!$G$5)*102*'Emissions Factors'!$D$10*'Calcs - Power'!$B83+'Emissions Factors'!$D$11*('Calcs - Power'!$C83+'Calcs - Power'!$D83+'Calcs - Power'!$E83+'Calcs - Power'!$F83))</f>
        <v>137374.7667969543</v>
      </c>
      <c r="AL84" s="359">
        <f>(102*'Emissions Factors'!$E$10*'Calcs - Power'!$G83+'Emissions Factors'!$E$11*('Calcs - Power'!H83+'Calcs - Power'!I83+'Calcs - Power'!J83+'Calcs - Power'!K83))</f>
        <v>3337.7720624957756</v>
      </c>
      <c r="AM84" s="366">
        <f>(102*'Emissions Factors'!$E$10*'Calcs - Power'!$B83+'Emissions Factors'!$E$11*('Calcs - Power'!C83+'Calcs - Power'!D83+'Calcs - Power'!E83+'Calcs - Power'!F83))</f>
        <v>137248.34926277981</v>
      </c>
      <c r="AN84" s="359">
        <f>(102*'Emissions Factors'!$D$10*'Calcs - Power'!$G83+'Emissions Factors'!$D$11*('Calcs - Power'!$H83+'Calcs - Power'!$I83+'Calcs - Power'!$J83+'Calcs - Power'!$K83))</f>
        <v>3048.5592391327</v>
      </c>
      <c r="AO84" s="366">
        <f>(102*'Emissions Factors'!$D$10*'Calcs - Power'!$B83+'Emissions Factors'!$D$11*('Calcs - Power'!$C83+'Calcs - Power'!$D83+'Calcs - Power'!$E83+'Calcs - Power'!$F83))</f>
        <v>137374.7667969543</v>
      </c>
      <c r="AP84" s="367">
        <f>(102*'Emissions Factors'!$E$10*'Calcs - Power'!$G83+'Emissions Factors'!$E$11*('Calcs - Power'!H83+'Calcs - Power'!I83+'Calcs - Power'!J83+'Calcs - Power'!K83))</f>
        <v>3337.7720624957756</v>
      </c>
      <c r="AQ84" s="366">
        <f>(102*'Emissions Factors'!$E$10*'Calcs - Power'!$B83+'Emissions Factors'!$E$11*('Calcs - Power'!C83+'Calcs - Power'!D83+'Calcs - Power'!E83+'Calcs - Power'!F83))</f>
        <v>137248.34926277981</v>
      </c>
      <c r="AS84" s="357"/>
      <c r="AT84" s="357"/>
      <c r="AU84" s="357"/>
      <c r="AV84" s="357"/>
      <c r="AX84" s="358">
        <f t="shared" si="23"/>
        <v>72</v>
      </c>
      <c r="AY84" s="359">
        <f>(('Methane Leakage'!$G$6/'Methane Leakage'!$G$5)*102*'Emissions Factors'!$F$10*'Calcs - Power'!$G83+'Emissions Factors'!$F$11*('Calcs - Power'!$H83+'Calcs - Power'!$I83+'Calcs - Power'!$J83+'Calcs - Power'!$K83))</f>
        <v>4088979.3844485842</v>
      </c>
      <c r="AZ84" s="366">
        <f>(('Methane Leakage'!$G$6/'Methane Leakage'!$G$5)*102*'Emissions Factors'!$F$10*'Calcs - Power'!$B83+'Emissions Factors'!$F$11*('Calcs - Power'!$C83+'Calcs - Power'!$D83+'Calcs - Power'!$E83+'Calcs - Power'!$F83))</f>
        <v>179650809.7664966</v>
      </c>
      <c r="BA84" s="359">
        <f>(102*'Emissions Factors'!$G$10*'Calcs - Power'!$G83+'Emissions Factors'!$G$11*('Calcs - Power'!H83+'Calcs - Power'!I83+'Calcs - Power'!J83+'Calcs - Power'!K83))</f>
        <v>3844646.5451896307</v>
      </c>
      <c r="BB84" s="366">
        <f>(102*'Emissions Factors'!$G$10*'Calcs - Power'!$B83+'Emissions Factors'!$G$11*('Calcs - Power'!C83+'Calcs - Power'!D83+'Calcs - Power'!E83+'Calcs - Power'!F83))</f>
        <v>157567177.43536842</v>
      </c>
      <c r="BC84" s="359">
        <f>(102*'Emissions Factors'!$F$10*'Calcs - Power'!$G83+'Emissions Factors'!$F$11*('Calcs - Power'!$H83+'Calcs - Power'!$I83+'Calcs - Power'!$J83+'Calcs - Power'!$K83))</f>
        <v>4088979.3844485842</v>
      </c>
      <c r="BD84" s="366">
        <f>(102*'Emissions Factors'!$F$10*'Calcs - Power'!$B83+'Emissions Factors'!$F$11*('Calcs - Power'!$C83+'Calcs - Power'!$D83+'Calcs - Power'!$E83+'Calcs - Power'!$F83))</f>
        <v>179650809.7664966</v>
      </c>
      <c r="BE84" s="359">
        <f>(102*'Emissions Factors'!$G$10*'Calcs - Power'!$G83+'Emissions Factors'!$G$11*('Calcs - Power'!H83+'Calcs - Power'!I83+'Calcs - Power'!J83+'Calcs - Power'!K83))</f>
        <v>3844646.5451896307</v>
      </c>
      <c r="BF84" s="366">
        <f>(102*'Emissions Factors'!$G$10*'Calcs - Power'!$B83+'Emissions Factors'!$G$11*('Calcs - Power'!C83+'Calcs - Power'!D83+'Calcs - Power'!E83+'Calcs - Power'!F83))</f>
        <v>157567177.43536842</v>
      </c>
    </row>
    <row r="85" spans="1:58" x14ac:dyDescent="0.3">
      <c r="A85" s="351">
        <f t="shared" si="20"/>
        <v>73</v>
      </c>
      <c r="B85" s="352">
        <f t="shared" si="14"/>
        <v>0.99999999999999989</v>
      </c>
      <c r="C85" s="363">
        <f t="shared" si="15"/>
        <v>0.99999999999999989</v>
      </c>
      <c r="D85" s="352">
        <f t="shared" si="16"/>
        <v>1</v>
      </c>
      <c r="E85" s="364">
        <f t="shared" si="17"/>
        <v>1</v>
      </c>
      <c r="F85" s="364">
        <f t="shared" si="18"/>
        <v>1</v>
      </c>
      <c r="G85" s="365">
        <f t="shared" si="19"/>
        <v>1</v>
      </c>
      <c r="P85" s="358">
        <f t="shared" si="21"/>
        <v>73</v>
      </c>
      <c r="Q85" s="359">
        <f>(('Methane Leakage'!$C$6/'Methane Leakage'!$C$5)*102*'Emissions Factors'!$C$38*'Calcs - Power'!$G84+'Emissions Factors'!$C$37*('Calcs - Power'!$H84+'Calcs - Power'!$I84+'Calcs - Power'!$J84+'Calcs - Power'!$K84))</f>
        <v>21912.583909844932</v>
      </c>
      <c r="R85" s="366">
        <f>(('Methane Leakage'!$C$6/'Methane Leakage'!$C$5)*102*'Emissions Factors'!$C$38*'Calcs - Power'!$B84+'Emissions Factors'!$C$37*('Calcs - Power'!$C84+'Calcs - Power'!$D84+'Calcs - Power'!$E84+'Calcs - Power'!$F84))</f>
        <v>977771.20956088323</v>
      </c>
      <c r="S85" s="359">
        <f>(('Methane Leakage'!$C$6/'Methane Leakage'!$C$5)*102*'Emissions Factors'!$D$38*'Calcs - Power'!$G84+'Emissions Factors'!$D$37*('Calcs - Power'!$H84+'Calcs - Power'!$I84+'Calcs - Power'!$J84+'Calcs - Power'!$K84))</f>
        <v>21912.583909844932</v>
      </c>
      <c r="T85" s="366">
        <f>(('Methane Leakage'!$C$6/'Methane Leakage'!$C$5)*102*'Emissions Factors'!$D$38*'Calcs - Power'!$B84+'Emissions Factors'!$D$37*('Calcs - Power'!$C84+'Calcs - Power'!$D84+'Calcs - Power'!$E84+'Calcs - Power'!$F84))</f>
        <v>977771.20956088323</v>
      </c>
      <c r="U85" s="361">
        <f>(102*'Emissions Factors'!$C$36*'Calcs - Power'!$G84+'Emissions Factors'!$C$35*('Calcs - Power'!$H84+'Calcs - Power'!$I84+'Calcs - Power'!$J84+'Calcs - Power'!$K84))</f>
        <v>37678.825640541741</v>
      </c>
      <c r="V85" s="366">
        <f>(102*'Emissions Factors'!$C$36*'Calcs - Power'!$B84+'Emissions Factors'!$C$35*('Calcs - Power'!$C84+'Calcs - Power'!$D84+'Calcs - Power'!$E84+'Calcs - Power'!$F84))</f>
        <v>1561308.0112332248</v>
      </c>
      <c r="W85" s="359">
        <f>(102*'Emissions Factors'!$D$36*'Calcs - Power'!$G84+'Emissions Factors'!$D$35*('Calcs - Power'!$H84+'Calcs - Power'!$I84+'Calcs - Power'!$J84+'Calcs - Power'!$K84))</f>
        <v>37678.825640541741</v>
      </c>
      <c r="X85" s="366">
        <f>(102*'Emissions Factors'!$D$36*'Calcs - Power'!$B84+'Emissions Factors'!$D$35*('Calcs - Power'!$C84+'Calcs - Power'!$D84+'Calcs - Power'!$E84+'Calcs - Power'!$F84))</f>
        <v>1561308.0112332248</v>
      </c>
      <c r="Y85" s="359">
        <f>(102*'Emissions Factors'!$C$38*'Calcs - Power'!$G84+'Emissions Factors'!$C$37*('Calcs - Power'!$H84+'Calcs - Power'!$I84+'Calcs - Power'!$J84+'Calcs - Power'!$K84))</f>
        <v>21912.583909844932</v>
      </c>
      <c r="Z85" s="366">
        <f>(102*'Emissions Factors'!$C$38*'Calcs - Power'!$B84+'Emissions Factors'!$C$37*('Calcs - Power'!$C84+'Calcs - Power'!$D84+'Calcs - Power'!$E84+'Calcs - Power'!$F84))</f>
        <v>977771.20956088323</v>
      </c>
      <c r="AA85" s="359">
        <f>(102*'Emissions Factors'!$C$36*'Calcs - Power'!$G84+'Emissions Factors'!$C$35*('Calcs - Power'!$H84+'Calcs - Power'!$I84+'Calcs - Power'!$J84+'Calcs - Power'!$K84))</f>
        <v>37678.825640541741</v>
      </c>
      <c r="AB85" s="366">
        <f>(102*'Emissions Factors'!$C$36*'Calcs - Power'!$B84+'Emissions Factors'!$C$35*('Calcs - Power'!$C84+'Calcs - Power'!$D84+'Calcs - Power'!$E84+'Calcs - Power'!$F84))</f>
        <v>1561308.0112332248</v>
      </c>
      <c r="AI85" s="358">
        <f t="shared" si="22"/>
        <v>73</v>
      </c>
      <c r="AJ85" s="359">
        <f>(('Methane Leakage'!$G$6/'Methane Leakage'!$G$5)*102*'Emissions Factors'!$D$10*'Calcs - Power'!$G84+'Emissions Factors'!$D$11*('Calcs - Power'!$H84+'Calcs - Power'!$I84+'Calcs - Power'!$J84+'Calcs - Power'!$K84))</f>
        <v>3073.3077455136877</v>
      </c>
      <c r="AK85" s="366">
        <f>(('Methane Leakage'!$G$6/'Methane Leakage'!$G$5)*102*'Emissions Factors'!$D$10*'Calcs - Power'!$B84+'Emissions Factors'!$D$11*('Calcs - Power'!$C84+'Calcs - Power'!$D84+'Calcs - Power'!$E84+'Calcs - Power'!$F84))</f>
        <v>140435.70830489238</v>
      </c>
      <c r="AL85" s="359">
        <f>(102*'Emissions Factors'!$E$10*'Calcs - Power'!$G84+'Emissions Factors'!$E$11*('Calcs - Power'!H84+'Calcs - Power'!I84+'Calcs - Power'!J84+'Calcs - Power'!K84))</f>
        <v>3371.7622150525481</v>
      </c>
      <c r="AM85" s="366">
        <f>(102*'Emissions Factors'!$E$10*'Calcs - Power'!$B84+'Emissions Factors'!$E$11*('Calcs - Power'!C84+'Calcs - Power'!D84+'Calcs - Power'!E84+'Calcs - Power'!F84))</f>
        <v>140603.12626548141</v>
      </c>
      <c r="AN85" s="359">
        <f>(102*'Emissions Factors'!$D$10*'Calcs - Power'!$G84+'Emissions Factors'!$D$11*('Calcs - Power'!$H84+'Calcs - Power'!$I84+'Calcs - Power'!$J84+'Calcs - Power'!$K84))</f>
        <v>3073.3077455136877</v>
      </c>
      <c r="AO85" s="366">
        <f>(102*'Emissions Factors'!$D$10*'Calcs - Power'!$B84+'Emissions Factors'!$D$11*('Calcs - Power'!$C84+'Calcs - Power'!$D84+'Calcs - Power'!$E84+'Calcs - Power'!$F84))</f>
        <v>140435.70830489238</v>
      </c>
      <c r="AP85" s="367">
        <f>(102*'Emissions Factors'!$E$10*'Calcs - Power'!$G84+'Emissions Factors'!$E$11*('Calcs - Power'!H84+'Calcs - Power'!I84+'Calcs - Power'!J84+'Calcs - Power'!K84))</f>
        <v>3371.7622150525481</v>
      </c>
      <c r="AQ85" s="366">
        <f>(102*'Emissions Factors'!$E$10*'Calcs - Power'!$B84+'Emissions Factors'!$E$11*('Calcs - Power'!C84+'Calcs - Power'!D84+'Calcs - Power'!E84+'Calcs - Power'!F84))</f>
        <v>140603.12626548141</v>
      </c>
      <c r="AS85" s="357"/>
      <c r="AT85" s="357"/>
      <c r="AU85" s="357"/>
      <c r="AV85" s="357"/>
      <c r="AX85" s="358">
        <f t="shared" si="23"/>
        <v>73</v>
      </c>
      <c r="AY85" s="359">
        <f>(('Methane Leakage'!$G$6/'Methane Leakage'!$G$5)*102*'Emissions Factors'!$F$10*'Calcs - Power'!$G84+'Emissions Factors'!$F$11*('Calcs - Power'!$H84+'Calcs - Power'!$I84+'Calcs - Power'!$J84+'Calcs - Power'!$K84))</f>
        <v>4124587.9602964073</v>
      </c>
      <c r="AZ85" s="366">
        <f>(('Methane Leakage'!$G$6/'Methane Leakage'!$G$5)*102*'Emissions Factors'!$F$10*'Calcs - Power'!$B84+'Emissions Factors'!$F$11*('Calcs - Power'!$C84+'Calcs - Power'!$D84+'Calcs - Power'!$E84+'Calcs - Power'!$F84))</f>
        <v>183757604.57099161</v>
      </c>
      <c r="BA85" s="359">
        <f>(102*'Emissions Factors'!$G$10*'Calcs - Power'!$G84+'Emissions Factors'!$G$11*('Calcs - Power'!H84+'Calcs - Power'!I84+'Calcs - Power'!J84+'Calcs - Power'!K84))</f>
        <v>3884072.8171320651</v>
      </c>
      <c r="BB85" s="366">
        <f>(102*'Emissions Factors'!$G$10*'Calcs - Power'!$B84+'Emissions Factors'!$G$11*('Calcs - Power'!C84+'Calcs - Power'!D84+'Calcs - Power'!E84+'Calcs - Power'!F84))</f>
        <v>161431548.52169129</v>
      </c>
      <c r="BC85" s="359">
        <f>(102*'Emissions Factors'!$F$10*'Calcs - Power'!$G84+'Emissions Factors'!$F$11*('Calcs - Power'!$H84+'Calcs - Power'!$I84+'Calcs - Power'!$J84+'Calcs - Power'!$K84))</f>
        <v>4124587.9602964073</v>
      </c>
      <c r="BD85" s="366">
        <f>(102*'Emissions Factors'!$F$10*'Calcs - Power'!$B84+'Emissions Factors'!$F$11*('Calcs - Power'!$C84+'Calcs - Power'!$D84+'Calcs - Power'!$E84+'Calcs - Power'!$F84))</f>
        <v>183757604.57099161</v>
      </c>
      <c r="BE85" s="359">
        <f>(102*'Emissions Factors'!$G$10*'Calcs - Power'!$G84+'Emissions Factors'!$G$11*('Calcs - Power'!H84+'Calcs - Power'!I84+'Calcs - Power'!J84+'Calcs - Power'!K84))</f>
        <v>3884072.8171320651</v>
      </c>
      <c r="BF85" s="366">
        <f>(102*'Emissions Factors'!$G$10*'Calcs - Power'!$B84+'Emissions Factors'!$G$11*('Calcs - Power'!C84+'Calcs - Power'!D84+'Calcs - Power'!E84+'Calcs - Power'!F84))</f>
        <v>161431548.52169129</v>
      </c>
    </row>
    <row r="86" spans="1:58" x14ac:dyDescent="0.3">
      <c r="A86" s="351">
        <f t="shared" si="20"/>
        <v>74</v>
      </c>
      <c r="B86" s="352">
        <f t="shared" si="14"/>
        <v>1</v>
      </c>
      <c r="C86" s="363">
        <f t="shared" si="15"/>
        <v>0.99999999999999989</v>
      </c>
      <c r="D86" s="352">
        <f t="shared" si="16"/>
        <v>1</v>
      </c>
      <c r="E86" s="364">
        <f t="shared" si="17"/>
        <v>1</v>
      </c>
      <c r="F86" s="364">
        <f t="shared" si="18"/>
        <v>1</v>
      </c>
      <c r="G86" s="365">
        <f t="shared" si="19"/>
        <v>1</v>
      </c>
      <c r="P86" s="358">
        <f t="shared" si="21"/>
        <v>74</v>
      </c>
      <c r="Q86" s="359">
        <f>(('Methane Leakage'!$C$6/'Methane Leakage'!$C$5)*102*'Emissions Factors'!$C$38*'Calcs - Power'!$G85+'Emissions Factors'!$C$37*('Calcs - Power'!$H85+'Calcs - Power'!$I85+'Calcs - Power'!$J85+'Calcs - Power'!$K85))</f>
        <v>22100.285653746148</v>
      </c>
      <c r="R86" s="366">
        <f>(('Methane Leakage'!$C$6/'Methane Leakage'!$C$5)*102*'Emissions Factors'!$C$38*'Calcs - Power'!$B85+'Emissions Factors'!$C$37*('Calcs - Power'!$C85+'Calcs - Power'!$D85+'Calcs - Power'!$E85+'Calcs - Power'!$F85))</f>
        <v>999777.70193761203</v>
      </c>
      <c r="S86" s="359">
        <f>(('Methane Leakage'!$C$6/'Methane Leakage'!$C$5)*102*'Emissions Factors'!$D$38*'Calcs - Power'!$G85+'Emissions Factors'!$D$37*('Calcs - Power'!$H85+'Calcs - Power'!$I85+'Calcs - Power'!$J85+'Calcs - Power'!$K85))</f>
        <v>22100.285653746148</v>
      </c>
      <c r="T86" s="366">
        <f>(('Methane Leakage'!$C$6/'Methane Leakage'!$C$5)*102*'Emissions Factors'!$D$38*'Calcs - Power'!$B85+'Emissions Factors'!$D$37*('Calcs - Power'!$C85+'Calcs - Power'!$D85+'Calcs - Power'!$E85+'Calcs - Power'!$F85))</f>
        <v>999777.70193761203</v>
      </c>
      <c r="U86" s="361">
        <f>(102*'Emissions Factors'!$C$36*'Calcs - Power'!$G85+'Emissions Factors'!$C$35*('Calcs - Power'!$H85+'Calcs - Power'!$I85+'Calcs - Power'!$J85+'Calcs - Power'!$K85))</f>
        <v>38062.368853558008</v>
      </c>
      <c r="V86" s="366">
        <f>(102*'Emissions Factors'!$C$36*'Calcs - Power'!$B85+'Emissions Factors'!$C$35*('Calcs - Power'!$C85+'Calcs - Power'!$D85+'Calcs - Power'!$E85+'Calcs - Power'!$F85))</f>
        <v>1599178.7173723371</v>
      </c>
      <c r="W86" s="359">
        <f>(102*'Emissions Factors'!$D$36*'Calcs - Power'!$G85+'Emissions Factors'!$D$35*('Calcs - Power'!$H85+'Calcs - Power'!$I85+'Calcs - Power'!$J85+'Calcs - Power'!$K85))</f>
        <v>38062.368853558008</v>
      </c>
      <c r="X86" s="366">
        <f>(102*'Emissions Factors'!$D$36*'Calcs - Power'!$B85+'Emissions Factors'!$D$35*('Calcs - Power'!$C85+'Calcs - Power'!$D85+'Calcs - Power'!$E85+'Calcs - Power'!$F85))</f>
        <v>1599178.7173723371</v>
      </c>
      <c r="Y86" s="359">
        <f>(102*'Emissions Factors'!$C$38*'Calcs - Power'!$G85+'Emissions Factors'!$C$37*('Calcs - Power'!$H85+'Calcs - Power'!$I85+'Calcs - Power'!$J85+'Calcs - Power'!$K85))</f>
        <v>22100.285653746148</v>
      </c>
      <c r="Z86" s="366">
        <f>(102*'Emissions Factors'!$C$38*'Calcs - Power'!$B85+'Emissions Factors'!$C$37*('Calcs - Power'!$C85+'Calcs - Power'!$D85+'Calcs - Power'!$E85+'Calcs - Power'!$F85))</f>
        <v>999777.70193761203</v>
      </c>
      <c r="AA86" s="359">
        <f>(102*'Emissions Factors'!$C$36*'Calcs - Power'!$G85+'Emissions Factors'!$C$35*('Calcs - Power'!$H85+'Calcs - Power'!$I85+'Calcs - Power'!$J85+'Calcs - Power'!$K85))</f>
        <v>38062.368853558008</v>
      </c>
      <c r="AB86" s="366">
        <f>(102*'Emissions Factors'!$C$36*'Calcs - Power'!$B85+'Emissions Factors'!$C$35*('Calcs - Power'!$C85+'Calcs - Power'!$D85+'Calcs - Power'!$E85+'Calcs - Power'!$F85))</f>
        <v>1599178.7173723371</v>
      </c>
      <c r="AI86" s="358">
        <f t="shared" si="22"/>
        <v>74</v>
      </c>
      <c r="AJ86" s="359">
        <f>(('Methane Leakage'!$G$6/'Methane Leakage'!$G$5)*102*'Emissions Factors'!$D$10*'Calcs - Power'!$G85+'Emissions Factors'!$D$11*('Calcs - Power'!$H85+'Calcs - Power'!$I85+'Calcs - Power'!$J85+'Calcs - Power'!$K85))</f>
        <v>3097.9613276596806</v>
      </c>
      <c r="AK86" s="366">
        <f>(('Methane Leakage'!$G$6/'Methane Leakage'!$G$5)*102*'Emissions Factors'!$D$10*'Calcs - Power'!$B85+'Emissions Factors'!$D$11*('Calcs - Power'!$C85+'Calcs - Power'!$D85+'Calcs - Power'!$E85+'Calcs - Power'!$F85))</f>
        <v>143521.35064819653</v>
      </c>
      <c r="AL86" s="359">
        <f>(102*'Emissions Factors'!$E$10*'Calcs - Power'!$G85+'Emissions Factors'!$E$11*('Calcs - Power'!H85+'Calcs - Power'!I85+'Calcs - Power'!J85+'Calcs - Power'!K85))</f>
        <v>3405.6351616184743</v>
      </c>
      <c r="AM86" s="366">
        <f>(102*'Emissions Factors'!$E$10*'Calcs - Power'!$B85+'Emissions Factors'!$E$11*('Calcs - Power'!C85+'Calcs - Power'!D85+'Calcs - Power'!E85+'Calcs - Power'!F85))</f>
        <v>143991.83462539985</v>
      </c>
      <c r="AN86" s="359">
        <f>(102*'Emissions Factors'!$D$10*'Calcs - Power'!$G85+'Emissions Factors'!$D$11*('Calcs - Power'!$H85+'Calcs - Power'!$I85+'Calcs - Power'!$J85+'Calcs - Power'!$K85))</f>
        <v>3097.9613276596806</v>
      </c>
      <c r="AO86" s="366">
        <f>(102*'Emissions Factors'!$D$10*'Calcs - Power'!$B85+'Emissions Factors'!$D$11*('Calcs - Power'!$C85+'Calcs - Power'!$D85+'Calcs - Power'!$E85+'Calcs - Power'!$F85))</f>
        <v>143521.35064819653</v>
      </c>
      <c r="AP86" s="367">
        <f>(102*'Emissions Factors'!$E$10*'Calcs - Power'!$G85+'Emissions Factors'!$E$11*('Calcs - Power'!H85+'Calcs - Power'!I85+'Calcs - Power'!J85+'Calcs - Power'!K85))</f>
        <v>3405.6351616184743</v>
      </c>
      <c r="AQ86" s="366">
        <f>(102*'Emissions Factors'!$E$10*'Calcs - Power'!$B85+'Emissions Factors'!$E$11*('Calcs - Power'!C85+'Calcs - Power'!D85+'Calcs - Power'!E85+'Calcs - Power'!F85))</f>
        <v>143991.83462539985</v>
      </c>
      <c r="AS86" s="357"/>
      <c r="AT86" s="357"/>
      <c r="AU86" s="357"/>
      <c r="AV86" s="357"/>
      <c r="AX86" s="358">
        <f t="shared" si="23"/>
        <v>74</v>
      </c>
      <c r="AY86" s="359">
        <f>(('Methane Leakage'!$G$6/'Methane Leakage'!$G$5)*102*'Emissions Factors'!$F$10*'Calcs - Power'!$G85+'Emissions Factors'!$F$11*('Calcs - Power'!$H85+'Calcs - Power'!$I85+'Calcs - Power'!$J85+'Calcs - Power'!$K85))</f>
        <v>4160064.5672309813</v>
      </c>
      <c r="AZ86" s="366">
        <f>(('Methane Leakage'!$G$6/'Methane Leakage'!$G$5)*102*'Emissions Factors'!$F$10*'Calcs - Power'!$B85+'Emissions Factors'!$F$11*('Calcs - Power'!$C85+'Calcs - Power'!$D85+'Calcs - Power'!$E85+'Calcs - Power'!$F85))</f>
        <v>187899941.69942239</v>
      </c>
      <c r="BA86" s="359">
        <f>(102*'Emissions Factors'!$G$10*'Calcs - Power'!$G85+'Emissions Factors'!$G$11*('Calcs - Power'!H85+'Calcs - Power'!I85+'Calcs - Power'!J85+'Calcs - Power'!K85))</f>
        <v>3923363.5557700028</v>
      </c>
      <c r="BB86" s="366">
        <f>(102*'Emissions Factors'!$G$10*'Calcs - Power'!$B85+'Emissions Factors'!$G$11*('Calcs - Power'!C85+'Calcs - Power'!D85+'Calcs - Power'!E85+'Calcs - Power'!F85))</f>
        <v>165335277.89319792</v>
      </c>
      <c r="BC86" s="359">
        <f>(102*'Emissions Factors'!$F$10*'Calcs - Power'!$G85+'Emissions Factors'!$F$11*('Calcs - Power'!$H85+'Calcs - Power'!$I85+'Calcs - Power'!$J85+'Calcs - Power'!$K85))</f>
        <v>4160064.5672309813</v>
      </c>
      <c r="BD86" s="366">
        <f>(102*'Emissions Factors'!$F$10*'Calcs - Power'!$B85+'Emissions Factors'!$F$11*('Calcs - Power'!$C85+'Calcs - Power'!$D85+'Calcs - Power'!$E85+'Calcs - Power'!$F85))</f>
        <v>187899941.69942239</v>
      </c>
      <c r="BE86" s="359">
        <f>(102*'Emissions Factors'!$G$10*'Calcs - Power'!$G85+'Emissions Factors'!$G$11*('Calcs - Power'!H85+'Calcs - Power'!I85+'Calcs - Power'!J85+'Calcs - Power'!K85))</f>
        <v>3923363.5557700028</v>
      </c>
      <c r="BF86" s="366">
        <f>(102*'Emissions Factors'!$G$10*'Calcs - Power'!$B85+'Emissions Factors'!$G$11*('Calcs - Power'!C85+'Calcs - Power'!D85+'Calcs - Power'!E85+'Calcs - Power'!F85))</f>
        <v>165335277.89319792</v>
      </c>
    </row>
    <row r="87" spans="1:58" x14ac:dyDescent="0.3">
      <c r="A87" s="351">
        <f t="shared" si="20"/>
        <v>75</v>
      </c>
      <c r="B87" s="352">
        <f t="shared" si="14"/>
        <v>1</v>
      </c>
      <c r="C87" s="363">
        <f t="shared" si="15"/>
        <v>0.99999999999999978</v>
      </c>
      <c r="D87" s="352">
        <f t="shared" si="16"/>
        <v>1</v>
      </c>
      <c r="E87" s="364">
        <f t="shared" si="17"/>
        <v>1</v>
      </c>
      <c r="F87" s="364">
        <f t="shared" si="18"/>
        <v>1</v>
      </c>
      <c r="G87" s="365">
        <f t="shared" si="19"/>
        <v>1</v>
      </c>
      <c r="P87" s="358">
        <f t="shared" si="21"/>
        <v>75</v>
      </c>
      <c r="Q87" s="359">
        <f>(('Methane Leakage'!$C$6/'Methane Leakage'!$C$5)*102*'Emissions Factors'!$C$38*'Calcs - Power'!$G86+'Emissions Factors'!$C$37*('Calcs - Power'!$H86+'Calcs - Power'!$I86+'Calcs - Power'!$J86+'Calcs - Power'!$K86))</f>
        <v>22287.304409276621</v>
      </c>
      <c r="R87" s="366">
        <f>(('Methane Leakage'!$C$6/'Methane Leakage'!$C$5)*102*'Emissions Factors'!$C$38*'Calcs - Power'!$B86+'Emissions Factors'!$C$37*('Calcs - Power'!$C86+'Calcs - Power'!$D86+'Calcs - Power'!$E86+'Calcs - Power'!$F86))</f>
        <v>1021971.553215444</v>
      </c>
      <c r="S87" s="359">
        <f>(('Methane Leakage'!$C$6/'Methane Leakage'!$C$5)*102*'Emissions Factors'!$D$38*'Calcs - Power'!$G86+'Emissions Factors'!$D$37*('Calcs - Power'!$H86+'Calcs - Power'!$I86+'Calcs - Power'!$J86+'Calcs - Power'!$K86))</f>
        <v>22287.304409276621</v>
      </c>
      <c r="T87" s="366">
        <f>(('Methane Leakage'!$C$6/'Methane Leakage'!$C$5)*102*'Emissions Factors'!$D$38*'Calcs - Power'!$B86+'Emissions Factors'!$D$37*('Calcs - Power'!$C86+'Calcs - Power'!$D86+'Calcs - Power'!$E86+'Calcs - Power'!$F86))</f>
        <v>1021971.553215444</v>
      </c>
      <c r="U87" s="361">
        <f>(102*'Emissions Factors'!$C$36*'Calcs - Power'!$G86+'Emissions Factors'!$C$35*('Calcs - Power'!$H86+'Calcs - Power'!$I86+'Calcs - Power'!$J86+'Calcs - Power'!$K86))</f>
        <v>38444.617610912093</v>
      </c>
      <c r="V87" s="366">
        <f>(102*'Emissions Factors'!$C$36*'Calcs - Power'!$B86+'Emissions Factors'!$C$35*('Calcs - Power'!$C86+'Calcs - Power'!$D86+'Calcs - Power'!$E86+'Calcs - Power'!$F86))</f>
        <v>1637432.3174671605</v>
      </c>
      <c r="W87" s="359">
        <f>(102*'Emissions Factors'!$D$36*'Calcs - Power'!$G86+'Emissions Factors'!$D$35*('Calcs - Power'!$H86+'Calcs - Power'!$I86+'Calcs - Power'!$J86+'Calcs - Power'!$K86))</f>
        <v>38444.617610912093</v>
      </c>
      <c r="X87" s="366">
        <f>(102*'Emissions Factors'!$D$36*'Calcs - Power'!$B86+'Emissions Factors'!$D$35*('Calcs - Power'!$C86+'Calcs - Power'!$D86+'Calcs - Power'!$E86+'Calcs - Power'!$F86))</f>
        <v>1637432.3174671605</v>
      </c>
      <c r="Y87" s="359">
        <f>(102*'Emissions Factors'!$C$38*'Calcs - Power'!$G86+'Emissions Factors'!$C$37*('Calcs - Power'!$H86+'Calcs - Power'!$I86+'Calcs - Power'!$J86+'Calcs - Power'!$K86))</f>
        <v>22287.304409276621</v>
      </c>
      <c r="Z87" s="366">
        <f>(102*'Emissions Factors'!$C$38*'Calcs - Power'!$B86+'Emissions Factors'!$C$37*('Calcs - Power'!$C86+'Calcs - Power'!$D86+'Calcs - Power'!$E86+'Calcs - Power'!$F86))</f>
        <v>1021971.553215444</v>
      </c>
      <c r="AA87" s="359">
        <f>(102*'Emissions Factors'!$C$36*'Calcs - Power'!$G86+'Emissions Factors'!$C$35*('Calcs - Power'!$H86+'Calcs - Power'!$I86+'Calcs - Power'!$J86+'Calcs - Power'!$K86))</f>
        <v>38444.617610912093</v>
      </c>
      <c r="AB87" s="366">
        <f>(102*'Emissions Factors'!$C$36*'Calcs - Power'!$B86+'Emissions Factors'!$C$35*('Calcs - Power'!$C86+'Calcs - Power'!$D86+'Calcs - Power'!$E86+'Calcs - Power'!$F86))</f>
        <v>1637432.3174671605</v>
      </c>
      <c r="AI87" s="358">
        <f t="shared" si="22"/>
        <v>75</v>
      </c>
      <c r="AJ87" s="359">
        <f>(('Methane Leakage'!$G$6/'Methane Leakage'!$G$5)*102*'Emissions Factors'!$D$10*'Calcs - Power'!$G86+'Emissions Factors'!$D$11*('Calcs - Power'!$H86+'Calcs - Power'!$I86+'Calcs - Power'!$J86+'Calcs - Power'!$K86))</f>
        <v>3122.522420962423</v>
      </c>
      <c r="AK87" s="366">
        <f>(('Methane Leakage'!$G$6/'Methane Leakage'!$G$5)*102*'Emissions Factors'!$D$10*'Calcs - Power'!$B86+'Emissions Factors'!$D$11*('Calcs - Power'!$C86+'Calcs - Power'!$D86+'Calcs - Power'!$E86+'Calcs - Power'!$F86))</f>
        <v>146631.60013211513</v>
      </c>
      <c r="AL87" s="359">
        <f>(102*'Emissions Factors'!$E$10*'Calcs - Power'!$G86+'Emissions Factors'!$E$11*('Calcs - Power'!H86+'Calcs - Power'!I86+'Calcs - Power'!J86+'Calcs - Power'!K86))</f>
        <v>3439.3931583732256</v>
      </c>
      <c r="AM87" s="366">
        <f>(102*'Emissions Factors'!$E$10*'Calcs - Power'!$B86+'Emissions Factors'!$E$11*('Calcs - Power'!C86+'Calcs - Power'!D86+'Calcs - Power'!E86+'Calcs - Power'!F86))</f>
        <v>147414.35827322837</v>
      </c>
      <c r="AN87" s="359">
        <f>(102*'Emissions Factors'!$D$10*'Calcs - Power'!$G86+'Emissions Factors'!$D$11*('Calcs - Power'!$H86+'Calcs - Power'!$I86+'Calcs - Power'!$J86+'Calcs - Power'!$K86))</f>
        <v>3122.522420962423</v>
      </c>
      <c r="AO87" s="366">
        <f>(102*'Emissions Factors'!$D$10*'Calcs - Power'!$B86+'Emissions Factors'!$D$11*('Calcs - Power'!$C86+'Calcs - Power'!$D86+'Calcs - Power'!$E86+'Calcs - Power'!$F86))</f>
        <v>146631.60013211513</v>
      </c>
      <c r="AP87" s="367">
        <f>(102*'Emissions Factors'!$E$10*'Calcs - Power'!$G86+'Emissions Factors'!$E$11*('Calcs - Power'!H86+'Calcs - Power'!I86+'Calcs - Power'!J86+'Calcs - Power'!K86))</f>
        <v>3439.3931583732256</v>
      </c>
      <c r="AQ87" s="366">
        <f>(102*'Emissions Factors'!$E$10*'Calcs - Power'!$B86+'Emissions Factors'!$E$11*('Calcs - Power'!C86+'Calcs - Power'!D86+'Calcs - Power'!E86+'Calcs - Power'!F86))</f>
        <v>147414.35827322837</v>
      </c>
      <c r="AS87" s="357"/>
      <c r="AT87" s="357"/>
      <c r="AU87" s="357"/>
      <c r="AV87" s="357"/>
      <c r="AX87" s="358">
        <f t="shared" si="23"/>
        <v>75</v>
      </c>
      <c r="AY87" s="359">
        <f>(('Methane Leakage'!$G$6/'Methane Leakage'!$G$5)*102*'Emissions Factors'!$F$10*'Calcs - Power'!$G86+'Emissions Factors'!$F$11*('Calcs - Power'!$H86+'Calcs - Power'!$I86+'Calcs - Power'!$J86+'Calcs - Power'!$K86))</f>
        <v>4195412.3281516461</v>
      </c>
      <c r="AZ87" s="366">
        <f>(('Methane Leakage'!$G$6/'Methane Leakage'!$G$5)*102*'Emissions Factors'!$F$10*'Calcs - Power'!$B86+'Emissions Factors'!$F$11*('Calcs - Power'!$C86+'Calcs - Power'!$D86+'Calcs - Power'!$E86+'Calcs - Power'!$F86))</f>
        <v>192077690.75862616</v>
      </c>
      <c r="BA87" s="359">
        <f>(102*'Emissions Factors'!$G$10*'Calcs - Power'!$G86+'Emissions Factors'!$G$11*('Calcs - Power'!H86+'Calcs - Power'!I86+'Calcs - Power'!J86+'Calcs - Power'!K86))</f>
        <v>3962521.3435788429</v>
      </c>
      <c r="BB87" s="366">
        <f>(102*'Emissions Factors'!$G$10*'Calcs - Power'!$B86+'Emissions Factors'!$G$11*('Calcs - Power'!C86+'Calcs - Power'!D86+'Calcs - Power'!E86+'Calcs - Power'!F86))</f>
        <v>169278231.31754935</v>
      </c>
      <c r="BC87" s="359">
        <f>(102*'Emissions Factors'!$F$10*'Calcs - Power'!$G86+'Emissions Factors'!$F$11*('Calcs - Power'!$H86+'Calcs - Power'!$I86+'Calcs - Power'!$J86+'Calcs - Power'!$K86))</f>
        <v>4195412.3281516461</v>
      </c>
      <c r="BD87" s="366">
        <f>(102*'Emissions Factors'!$F$10*'Calcs - Power'!$B86+'Emissions Factors'!$F$11*('Calcs - Power'!$C86+'Calcs - Power'!$D86+'Calcs - Power'!$E86+'Calcs - Power'!$F86))</f>
        <v>192077690.75862616</v>
      </c>
      <c r="BE87" s="359">
        <f>(102*'Emissions Factors'!$G$10*'Calcs - Power'!$G86+'Emissions Factors'!$G$11*('Calcs - Power'!H86+'Calcs - Power'!I86+'Calcs - Power'!J86+'Calcs - Power'!K86))</f>
        <v>3962521.3435788429</v>
      </c>
      <c r="BF87" s="366">
        <f>(102*'Emissions Factors'!$G$10*'Calcs - Power'!$B86+'Emissions Factors'!$G$11*('Calcs - Power'!C86+'Calcs - Power'!D86+'Calcs - Power'!E86+'Calcs - Power'!F86))</f>
        <v>169278231.31754935</v>
      </c>
    </row>
    <row r="88" spans="1:58" x14ac:dyDescent="0.3">
      <c r="A88" s="351">
        <f t="shared" si="20"/>
        <v>76</v>
      </c>
      <c r="B88" s="352">
        <f t="shared" si="14"/>
        <v>1</v>
      </c>
      <c r="C88" s="363">
        <f t="shared" si="15"/>
        <v>1</v>
      </c>
      <c r="D88" s="352">
        <f t="shared" si="16"/>
        <v>1</v>
      </c>
      <c r="E88" s="364">
        <f t="shared" si="17"/>
        <v>1</v>
      </c>
      <c r="F88" s="364">
        <f t="shared" si="18"/>
        <v>1</v>
      </c>
      <c r="G88" s="365">
        <f t="shared" si="19"/>
        <v>1</v>
      </c>
      <c r="P88" s="358">
        <f t="shared" si="21"/>
        <v>76</v>
      </c>
      <c r="Q88" s="359">
        <f>(('Methane Leakage'!$C$6/'Methane Leakage'!$C$5)*102*'Emissions Factors'!$C$38*'Calcs - Power'!$G87+'Emissions Factors'!$C$37*('Calcs - Power'!$H87+'Calcs - Power'!$I87+'Calcs - Power'!$J87+'Calcs - Power'!$K87))</f>
        <v>22473.655926738007</v>
      </c>
      <c r="R88" s="366">
        <f>(('Methane Leakage'!$C$6/'Methane Leakage'!$C$5)*102*'Emissions Factors'!$C$38*'Calcs - Power'!$B87+'Emissions Factors'!$C$37*('Calcs - Power'!$C87+'Calcs - Power'!$D87+'Calcs - Power'!$E87+'Calcs - Power'!$F87))</f>
        <v>1044352.0883527005</v>
      </c>
      <c r="S88" s="359">
        <f>(('Methane Leakage'!$C$6/'Methane Leakage'!$C$5)*102*'Emissions Factors'!$D$38*'Calcs - Power'!$G87+'Emissions Factors'!$D$37*('Calcs - Power'!$H87+'Calcs - Power'!$I87+'Calcs - Power'!$J87+'Calcs - Power'!$K87))</f>
        <v>22473.655926738007</v>
      </c>
      <c r="T88" s="366">
        <f>(('Methane Leakage'!$C$6/'Methane Leakage'!$C$5)*102*'Emissions Factors'!$D$38*'Calcs - Power'!$B87+'Emissions Factors'!$D$37*('Calcs - Power'!$C87+'Calcs - Power'!$D87+'Calcs - Power'!$E87+'Calcs - Power'!$F87))</f>
        <v>1044352.0883527005</v>
      </c>
      <c r="U88" s="361">
        <f>(102*'Emissions Factors'!$C$36*'Calcs - Power'!$G87+'Emissions Factors'!$C$35*('Calcs - Power'!$H87+'Calcs - Power'!$I87+'Calcs - Power'!$J87+'Calcs - Power'!$K87))</f>
        <v>38825.595735237126</v>
      </c>
      <c r="V88" s="366">
        <f>(102*'Emissions Factors'!$C$36*'Calcs - Power'!$B87+'Emissions Factors'!$C$35*('Calcs - Power'!$C87+'Calcs - Power'!$D87+'Calcs - Power'!$E87+'Calcs - Power'!$F87))</f>
        <v>1676067.5290612129</v>
      </c>
      <c r="W88" s="359">
        <f>(102*'Emissions Factors'!$D$36*'Calcs - Power'!$G87+'Emissions Factors'!$D$35*('Calcs - Power'!$H87+'Calcs - Power'!$I87+'Calcs - Power'!$J87+'Calcs - Power'!$K87))</f>
        <v>38825.595735237126</v>
      </c>
      <c r="X88" s="366">
        <f>(102*'Emissions Factors'!$D$36*'Calcs - Power'!$B87+'Emissions Factors'!$D$35*('Calcs - Power'!$C87+'Calcs - Power'!$D87+'Calcs - Power'!$E87+'Calcs - Power'!$F87))</f>
        <v>1676067.5290612129</v>
      </c>
      <c r="Y88" s="359">
        <f>(102*'Emissions Factors'!$C$38*'Calcs - Power'!$G87+'Emissions Factors'!$C$37*('Calcs - Power'!$H87+'Calcs - Power'!$I87+'Calcs - Power'!$J87+'Calcs - Power'!$K87))</f>
        <v>22473.655926738007</v>
      </c>
      <c r="Z88" s="366">
        <f>(102*'Emissions Factors'!$C$38*'Calcs - Power'!$B87+'Emissions Factors'!$C$37*('Calcs - Power'!$C87+'Calcs - Power'!$D87+'Calcs - Power'!$E87+'Calcs - Power'!$F87))</f>
        <v>1044352.0883527005</v>
      </c>
      <c r="AA88" s="359">
        <f>(102*'Emissions Factors'!$C$36*'Calcs - Power'!$G87+'Emissions Factors'!$C$35*('Calcs - Power'!$H87+'Calcs - Power'!$I87+'Calcs - Power'!$J87+'Calcs - Power'!$K87))</f>
        <v>38825.595735237126</v>
      </c>
      <c r="AB88" s="366">
        <f>(102*'Emissions Factors'!$C$36*'Calcs - Power'!$B87+'Emissions Factors'!$C$35*('Calcs - Power'!$C87+'Calcs - Power'!$D87+'Calcs - Power'!$E87+'Calcs - Power'!$F87))</f>
        <v>1676067.5290612129</v>
      </c>
      <c r="AI88" s="358">
        <f t="shared" si="22"/>
        <v>76</v>
      </c>
      <c r="AJ88" s="359">
        <f>(('Methane Leakage'!$G$6/'Methane Leakage'!$G$5)*102*'Emissions Factors'!$D$10*'Calcs - Power'!$G87+'Emissions Factors'!$D$11*('Calcs - Power'!$H87+'Calcs - Power'!$I87+'Calcs - Power'!$J87+'Calcs - Power'!$K87))</f>
        <v>3146.9933241289373</v>
      </c>
      <c r="AK88" s="366">
        <f>(('Methane Leakage'!$G$6/'Methane Leakage'!$G$5)*102*'Emissions Factors'!$D$10*'Calcs - Power'!$B87+'Emissions Factors'!$D$11*('Calcs - Power'!$C87+'Calcs - Power'!$D87+'Calcs - Power'!$E87+'Calcs - Power'!$F87))</f>
        <v>149766.36542815936</v>
      </c>
      <c r="AL88" s="359">
        <f>(102*'Emissions Factors'!$E$10*'Calcs - Power'!$G87+'Emissions Factors'!$E$11*('Calcs - Power'!H87+'Calcs - Power'!I87+'Calcs - Power'!J87+'Calcs - Power'!K87))</f>
        <v>3473.0383612192099</v>
      </c>
      <c r="AM88" s="366">
        <f>(102*'Emissions Factors'!$E$10*'Calcs - Power'!$B87+'Emissions Factors'!$E$11*('Calcs - Power'!C87+'Calcs - Power'!D87+'Calcs - Power'!E87+'Calcs - Power'!F87))</f>
        <v>150870.58334522939</v>
      </c>
      <c r="AN88" s="359">
        <f>(102*'Emissions Factors'!$D$10*'Calcs - Power'!$G87+'Emissions Factors'!$D$11*('Calcs - Power'!$H87+'Calcs - Power'!$I87+'Calcs - Power'!$J87+'Calcs - Power'!$K87))</f>
        <v>3146.9933241289373</v>
      </c>
      <c r="AO88" s="366">
        <f>(102*'Emissions Factors'!$D$10*'Calcs - Power'!$B87+'Emissions Factors'!$D$11*('Calcs - Power'!$C87+'Calcs - Power'!$D87+'Calcs - Power'!$E87+'Calcs - Power'!$F87))</f>
        <v>149766.36542815936</v>
      </c>
      <c r="AP88" s="367">
        <f>(102*'Emissions Factors'!$E$10*'Calcs - Power'!$G87+'Emissions Factors'!$E$11*('Calcs - Power'!H87+'Calcs - Power'!I87+'Calcs - Power'!J87+'Calcs - Power'!K87))</f>
        <v>3473.0383612192099</v>
      </c>
      <c r="AQ88" s="366">
        <f>(102*'Emissions Factors'!$E$10*'Calcs - Power'!$B87+'Emissions Factors'!$E$11*('Calcs - Power'!C87+'Calcs - Power'!D87+'Calcs - Power'!E87+'Calcs - Power'!F87))</f>
        <v>150870.58334522939</v>
      </c>
      <c r="AS88" s="357"/>
      <c r="AT88" s="357"/>
      <c r="AU88" s="357"/>
      <c r="AV88" s="357"/>
      <c r="AX88" s="358">
        <f t="shared" si="23"/>
        <v>76</v>
      </c>
      <c r="AY88" s="359">
        <f>(('Methane Leakage'!$G$6/'Methane Leakage'!$G$5)*102*'Emissions Factors'!$F$10*'Calcs - Power'!$G87+'Emissions Factors'!$F$11*('Calcs - Power'!$H87+'Calcs - Power'!$I87+'Calcs - Power'!$J87+'Calcs - Power'!$K87))</f>
        <v>4230634.1999132372</v>
      </c>
      <c r="AZ88" s="366">
        <f>(('Methane Leakage'!$G$6/'Methane Leakage'!$G$5)*102*'Emissions Factors'!$F$10*'Calcs - Power'!$B87+'Emissions Factors'!$F$11*('Calcs - Power'!$C87+'Calcs - Power'!$D87+'Calcs - Power'!$E87+'Calcs - Power'!$F87))</f>
        <v>196290724.39439839</v>
      </c>
      <c r="BA88" s="359">
        <f>(102*'Emissions Factors'!$G$10*'Calcs - Power'!$G87+'Emissions Factors'!$G$11*('Calcs - Power'!H87+'Calcs - Power'!I87+'Calcs - Power'!J87+'Calcs - Power'!K87))</f>
        <v>4001548.6494936957</v>
      </c>
      <c r="BB88" s="366">
        <f>(102*'Emissions Factors'!$G$10*'Calcs - Power'!$B87+'Emissions Factors'!$G$11*('Calcs - Power'!C87+'Calcs - Power'!D87+'Calcs - Power'!E87+'Calcs - Power'!F87))</f>
        <v>173260277.08758366</v>
      </c>
      <c r="BC88" s="359">
        <f>(102*'Emissions Factors'!$F$10*'Calcs - Power'!$G87+'Emissions Factors'!$F$11*('Calcs - Power'!$H87+'Calcs - Power'!$I87+'Calcs - Power'!$J87+'Calcs - Power'!$K87))</f>
        <v>4230634.1999132372</v>
      </c>
      <c r="BD88" s="366">
        <f>(102*'Emissions Factors'!$F$10*'Calcs - Power'!$B87+'Emissions Factors'!$F$11*('Calcs - Power'!$C87+'Calcs - Power'!$D87+'Calcs - Power'!$E87+'Calcs - Power'!$F87))</f>
        <v>196290724.39439839</v>
      </c>
      <c r="BE88" s="359">
        <f>(102*'Emissions Factors'!$G$10*'Calcs - Power'!$G87+'Emissions Factors'!$G$11*('Calcs - Power'!H87+'Calcs - Power'!I87+'Calcs - Power'!J87+'Calcs - Power'!K87))</f>
        <v>4001548.6494936957</v>
      </c>
      <c r="BF88" s="366">
        <f>(102*'Emissions Factors'!$G$10*'Calcs - Power'!$B87+'Emissions Factors'!$G$11*('Calcs - Power'!C87+'Calcs - Power'!D87+'Calcs - Power'!E87+'Calcs - Power'!F87))</f>
        <v>173260277.08758366</v>
      </c>
    </row>
    <row r="89" spans="1:58" x14ac:dyDescent="0.3">
      <c r="A89" s="351">
        <f t="shared" si="20"/>
        <v>77</v>
      </c>
      <c r="B89" s="352">
        <f t="shared" si="14"/>
        <v>1</v>
      </c>
      <c r="C89" s="363">
        <f t="shared" si="15"/>
        <v>0.99999999999999989</v>
      </c>
      <c r="D89" s="352">
        <f t="shared" si="16"/>
        <v>1</v>
      </c>
      <c r="E89" s="364">
        <f t="shared" si="17"/>
        <v>1</v>
      </c>
      <c r="F89" s="364">
        <f t="shared" si="18"/>
        <v>1</v>
      </c>
      <c r="G89" s="365">
        <f t="shared" si="19"/>
        <v>1</v>
      </c>
      <c r="P89" s="358">
        <f t="shared" si="21"/>
        <v>77</v>
      </c>
      <c r="Q89" s="359">
        <f>(('Methane Leakage'!$C$6/'Methane Leakage'!$C$5)*102*'Emissions Factors'!$C$38*'Calcs - Power'!$G88+'Emissions Factors'!$C$37*('Calcs - Power'!$H88+'Calcs - Power'!$I88+'Calcs - Power'!$J88+'Calcs - Power'!$K88))</f>
        <v>22659.355125735619</v>
      </c>
      <c r="R89" s="366">
        <f>(('Methane Leakage'!$C$6/'Methane Leakage'!$C$5)*102*'Emissions Factors'!$C$38*'Calcs - Power'!$B88+'Emissions Factors'!$C$37*('Calcs - Power'!$C88+'Calcs - Power'!$D88+'Calcs - Power'!$E88+'Calcs - Power'!$F88))</f>
        <v>1066918.6476380662</v>
      </c>
      <c r="S89" s="359">
        <f>(('Methane Leakage'!$C$6/'Methane Leakage'!$C$5)*102*'Emissions Factors'!$D$38*'Calcs - Power'!$G88+'Emissions Factors'!$D$37*('Calcs - Power'!$H88+'Calcs - Power'!$I88+'Calcs - Power'!$J88+'Calcs - Power'!$K88))</f>
        <v>22659.355125735619</v>
      </c>
      <c r="T89" s="366">
        <f>(('Methane Leakage'!$C$6/'Methane Leakage'!$C$5)*102*'Emissions Factors'!$D$38*'Calcs - Power'!$B88+'Emissions Factors'!$D$37*('Calcs - Power'!$C88+'Calcs - Power'!$D88+'Calcs - Power'!$E88+'Calcs - Power'!$F88))</f>
        <v>1066918.6476380662</v>
      </c>
      <c r="U89" s="361">
        <f>(102*'Emissions Factors'!$C$36*'Calcs - Power'!$G88+'Emissions Factors'!$C$35*('Calcs - Power'!$H88+'Calcs - Power'!$I88+'Calcs - Power'!$J88+'Calcs - Power'!$K88))</f>
        <v>39205.32602328404</v>
      </c>
      <c r="V89" s="366">
        <f>(102*'Emissions Factors'!$C$36*'Calcs - Power'!$B88+'Emissions Factors'!$C$35*('Calcs - Power'!$C88+'Calcs - Power'!$D88+'Calcs - Power'!$E88+'Calcs - Power'!$F88))</f>
        <v>1715083.0930029934</v>
      </c>
      <c r="W89" s="359">
        <f>(102*'Emissions Factors'!$D$36*'Calcs - Power'!$G88+'Emissions Factors'!$D$35*('Calcs - Power'!$H88+'Calcs - Power'!$I88+'Calcs - Power'!$J88+'Calcs - Power'!$K88))</f>
        <v>39205.32602328404</v>
      </c>
      <c r="X89" s="366">
        <f>(102*'Emissions Factors'!$D$36*'Calcs - Power'!$B88+'Emissions Factors'!$D$35*('Calcs - Power'!$C88+'Calcs - Power'!$D88+'Calcs - Power'!$E88+'Calcs - Power'!$F88))</f>
        <v>1715083.0930029934</v>
      </c>
      <c r="Y89" s="359">
        <f>(102*'Emissions Factors'!$C$38*'Calcs - Power'!$G88+'Emissions Factors'!$C$37*('Calcs - Power'!$H88+'Calcs - Power'!$I88+'Calcs - Power'!$J88+'Calcs - Power'!$K88))</f>
        <v>22659.355125735619</v>
      </c>
      <c r="Z89" s="366">
        <f>(102*'Emissions Factors'!$C$38*'Calcs - Power'!$B88+'Emissions Factors'!$C$37*('Calcs - Power'!$C88+'Calcs - Power'!$D88+'Calcs - Power'!$E88+'Calcs - Power'!$F88))</f>
        <v>1066918.6476380662</v>
      </c>
      <c r="AA89" s="359">
        <f>(102*'Emissions Factors'!$C$36*'Calcs - Power'!$G88+'Emissions Factors'!$C$35*('Calcs - Power'!$H88+'Calcs - Power'!$I88+'Calcs - Power'!$J88+'Calcs - Power'!$K88))</f>
        <v>39205.32602328404</v>
      </c>
      <c r="AB89" s="366">
        <f>(102*'Emissions Factors'!$C$36*'Calcs - Power'!$B88+'Emissions Factors'!$C$35*('Calcs - Power'!$C88+'Calcs - Power'!$D88+'Calcs - Power'!$E88+'Calcs - Power'!$F88))</f>
        <v>1715083.0930029934</v>
      </c>
      <c r="AI89" s="358">
        <f t="shared" si="22"/>
        <v>77</v>
      </c>
      <c r="AJ89" s="359">
        <f>(('Methane Leakage'!$G$6/'Methane Leakage'!$G$5)*102*'Emissions Factors'!$D$10*'Calcs - Power'!$G88+'Emissions Factors'!$D$11*('Calcs - Power'!$H88+'Calcs - Power'!$I88+'Calcs - Power'!$J88+'Calcs - Power'!$K88))</f>
        <v>3171.3762082864769</v>
      </c>
      <c r="AK89" s="366">
        <f>(('Methane Leakage'!$G$6/'Methane Leakage'!$G$5)*102*'Emissions Factors'!$D$10*'Calcs - Power'!$B88+'Emissions Factors'!$D$11*('Calcs - Power'!$C88+'Calcs - Power'!$D88+'Calcs - Power'!$E88+'Calcs - Power'!$F88))</f>
        <v>152925.55744202607</v>
      </c>
      <c r="AL89" s="359">
        <f>(102*'Emissions Factors'!$E$10*'Calcs - Power'!$G88+'Emissions Factors'!$E$11*('Calcs - Power'!H88+'Calcs - Power'!I88+'Calcs - Power'!J88+'Calcs - Power'!K88))</f>
        <v>3506.5728312817669</v>
      </c>
      <c r="AM89" s="366">
        <f>(102*'Emissions Factors'!$E$10*'Calcs - Power'!$B88+'Emissions Factors'!$E$11*('Calcs - Power'!C88+'Calcs - Power'!D88+'Calcs - Power'!E88+'Calcs - Power'!F88))</f>
        <v>154360.39808573408</v>
      </c>
      <c r="AN89" s="359">
        <f>(102*'Emissions Factors'!$D$10*'Calcs - Power'!$G88+'Emissions Factors'!$D$11*('Calcs - Power'!$H88+'Calcs - Power'!$I88+'Calcs - Power'!$J88+'Calcs - Power'!$K88))</f>
        <v>3171.3762082864769</v>
      </c>
      <c r="AO89" s="366">
        <f>(102*'Emissions Factors'!$D$10*'Calcs - Power'!$B88+'Emissions Factors'!$D$11*('Calcs - Power'!$C88+'Calcs - Power'!$D88+'Calcs - Power'!$E88+'Calcs - Power'!$F88))</f>
        <v>152925.55744202607</v>
      </c>
      <c r="AP89" s="367">
        <f>(102*'Emissions Factors'!$E$10*'Calcs - Power'!$G88+'Emissions Factors'!$E$11*('Calcs - Power'!H88+'Calcs - Power'!I88+'Calcs - Power'!J88+'Calcs - Power'!K88))</f>
        <v>3506.5728312817669</v>
      </c>
      <c r="AQ89" s="366">
        <f>(102*'Emissions Factors'!$E$10*'Calcs - Power'!$B88+'Emissions Factors'!$E$11*('Calcs - Power'!C88+'Calcs - Power'!D88+'Calcs - Power'!E88+'Calcs - Power'!F88))</f>
        <v>154360.39808573408</v>
      </c>
      <c r="AS89" s="357"/>
      <c r="AT89" s="357"/>
      <c r="AU89" s="357"/>
      <c r="AV89" s="357"/>
      <c r="AX89" s="358">
        <f t="shared" si="23"/>
        <v>77</v>
      </c>
      <c r="AY89" s="359">
        <f>(('Methane Leakage'!$G$6/'Methane Leakage'!$G$5)*102*'Emissions Factors'!$F$10*'Calcs - Power'!$G88+'Emissions Factors'!$F$11*('Calcs - Power'!$H88+'Calcs - Power'!$I88+'Calcs - Power'!$J88+'Calcs - Power'!$K88))</f>
        <v>4265732.9839737527</v>
      </c>
      <c r="AZ89" s="366">
        <f>(('Methane Leakage'!$G$6/'Methane Leakage'!$G$5)*102*'Emissions Factors'!$F$10*'Calcs - Power'!$B88+'Emissions Factors'!$F$11*('Calcs - Power'!$C88+'Calcs - Power'!$D88+'Calcs - Power'!$E88+'Calcs - Power'!$F88))</f>
        <v>200538918.1308344</v>
      </c>
      <c r="BA89" s="359">
        <f>(102*'Emissions Factors'!$G$10*'Calcs - Power'!$G88+'Emissions Factors'!$G$11*('Calcs - Power'!H88+'Calcs - Power'!I88+'Calcs - Power'!J88+'Calcs - Power'!K88))</f>
        <v>4040447.83506699</v>
      </c>
      <c r="BB89" s="366">
        <f>(102*'Emissions Factors'!$G$10*'Calcs - Power'!$B88+'Emissions Factors'!$G$11*('Calcs - Power'!C88+'Calcs - Power'!D88+'Calcs - Power'!E88+'Calcs - Power'!F88))</f>
        <v>177281285.91088438</v>
      </c>
      <c r="BC89" s="359">
        <f>(102*'Emissions Factors'!$F$10*'Calcs - Power'!$G88+'Emissions Factors'!$F$11*('Calcs - Power'!$H88+'Calcs - Power'!$I88+'Calcs - Power'!$J88+'Calcs - Power'!$K88))</f>
        <v>4265732.9839737527</v>
      </c>
      <c r="BD89" s="366">
        <f>(102*'Emissions Factors'!$F$10*'Calcs - Power'!$B88+'Emissions Factors'!$F$11*('Calcs - Power'!$C88+'Calcs - Power'!$D88+'Calcs - Power'!$E88+'Calcs - Power'!$F88))</f>
        <v>200538918.1308344</v>
      </c>
      <c r="BE89" s="359">
        <f>(102*'Emissions Factors'!$G$10*'Calcs - Power'!$G88+'Emissions Factors'!$G$11*('Calcs - Power'!H88+'Calcs - Power'!I88+'Calcs - Power'!J88+'Calcs - Power'!K88))</f>
        <v>4040447.83506699</v>
      </c>
      <c r="BF89" s="366">
        <f>(102*'Emissions Factors'!$G$10*'Calcs - Power'!$B88+'Emissions Factors'!$G$11*('Calcs - Power'!C88+'Calcs - Power'!D88+'Calcs - Power'!E88+'Calcs - Power'!F88))</f>
        <v>177281285.91088438</v>
      </c>
    </row>
    <row r="90" spans="1:58" x14ac:dyDescent="0.3">
      <c r="A90" s="351">
        <f t="shared" si="20"/>
        <v>78</v>
      </c>
      <c r="B90" s="352">
        <f t="shared" si="14"/>
        <v>0.99999999999999989</v>
      </c>
      <c r="C90" s="363">
        <f t="shared" si="15"/>
        <v>1</v>
      </c>
      <c r="D90" s="352">
        <f t="shared" si="16"/>
        <v>1</v>
      </c>
      <c r="E90" s="364">
        <f t="shared" si="17"/>
        <v>1</v>
      </c>
      <c r="F90" s="364">
        <f t="shared" si="18"/>
        <v>1</v>
      </c>
      <c r="G90" s="365">
        <f t="shared" si="19"/>
        <v>1</v>
      </c>
      <c r="P90" s="358">
        <f t="shared" si="21"/>
        <v>78</v>
      </c>
      <c r="Q90" s="359">
        <f>(('Methane Leakage'!$C$6/'Methane Leakage'!$C$5)*102*'Emissions Factors'!$C$38*'Calcs - Power'!$G89+'Emissions Factors'!$C$37*('Calcs - Power'!$H89+'Calcs - Power'!$I89+'Calcs - Power'!$J89+'Calcs - Power'!$K89))</f>
        <v>22844.416148368764</v>
      </c>
      <c r="R90" s="366">
        <f>(('Methane Leakage'!$C$6/'Methane Leakage'!$C$5)*102*'Emissions Factors'!$C$38*'Calcs - Power'!$B89+'Emissions Factors'!$C$37*('Calcs - Power'!$C89+'Calcs - Power'!$D89+'Calcs - Power'!$E89+'Calcs - Power'!$F89))</f>
        <v>1089670.5858868002</v>
      </c>
      <c r="S90" s="359">
        <f>(('Methane Leakage'!$C$6/'Methane Leakage'!$C$5)*102*'Emissions Factors'!$D$38*'Calcs - Power'!$G89+'Emissions Factors'!$D$37*('Calcs - Power'!$H89+'Calcs - Power'!$I89+'Calcs - Power'!$J89+'Calcs - Power'!$K89))</f>
        <v>22844.416148368764</v>
      </c>
      <c r="T90" s="366">
        <f>(('Methane Leakage'!$C$6/'Methane Leakage'!$C$5)*102*'Emissions Factors'!$D$38*'Calcs - Power'!$B89+'Emissions Factors'!$D$37*('Calcs - Power'!$C89+'Calcs - Power'!$D89+'Calcs - Power'!$E89+'Calcs - Power'!$F89))</f>
        <v>1089670.5858868002</v>
      </c>
      <c r="U90" s="361">
        <f>(102*'Emissions Factors'!$C$36*'Calcs - Power'!$G89+'Emissions Factors'!$C$35*('Calcs - Power'!$H89+'Calcs - Power'!$I89+'Calcs - Power'!$J89+'Calcs - Power'!$K89))</f>
        <v>39583.830300822512</v>
      </c>
      <c r="V90" s="366">
        <f>(102*'Emissions Factors'!$C$36*'Calcs - Power'!$B89+'Emissions Factors'!$C$35*('Calcs - Power'!$C89+'Calcs - Power'!$D89+'Calcs - Power'!$E89+'Calcs - Power'!$F89))</f>
        <v>1754477.7724478198</v>
      </c>
      <c r="W90" s="359">
        <f>(102*'Emissions Factors'!$D$36*'Calcs - Power'!$G89+'Emissions Factors'!$D$35*('Calcs - Power'!$H89+'Calcs - Power'!$I89+'Calcs - Power'!$J89+'Calcs - Power'!$K89))</f>
        <v>39583.830300822512</v>
      </c>
      <c r="X90" s="366">
        <f>(102*'Emissions Factors'!$D$36*'Calcs - Power'!$B89+'Emissions Factors'!$D$35*('Calcs - Power'!$C89+'Calcs - Power'!$D89+'Calcs - Power'!$E89+'Calcs - Power'!$F89))</f>
        <v>1754477.7724478198</v>
      </c>
      <c r="Y90" s="359">
        <f>(102*'Emissions Factors'!$C$38*'Calcs - Power'!$G89+'Emissions Factors'!$C$37*('Calcs - Power'!$H89+'Calcs - Power'!$I89+'Calcs - Power'!$J89+'Calcs - Power'!$K89))</f>
        <v>22844.416148368764</v>
      </c>
      <c r="Z90" s="366">
        <f>(102*'Emissions Factors'!$C$38*'Calcs - Power'!$B89+'Emissions Factors'!$C$37*('Calcs - Power'!$C89+'Calcs - Power'!$D89+'Calcs - Power'!$E89+'Calcs - Power'!$F89))</f>
        <v>1089670.5858868002</v>
      </c>
      <c r="AA90" s="359">
        <f>(102*'Emissions Factors'!$C$36*'Calcs - Power'!$G89+'Emissions Factors'!$C$35*('Calcs - Power'!$H89+'Calcs - Power'!$I89+'Calcs - Power'!$J89+'Calcs - Power'!$K89))</f>
        <v>39583.830300822512</v>
      </c>
      <c r="AB90" s="366">
        <f>(102*'Emissions Factors'!$C$36*'Calcs - Power'!$B89+'Emissions Factors'!$C$35*('Calcs - Power'!$C89+'Calcs - Power'!$D89+'Calcs - Power'!$E89+'Calcs - Power'!$F89))</f>
        <v>1754477.7724478198</v>
      </c>
      <c r="AI90" s="358">
        <f t="shared" si="22"/>
        <v>78</v>
      </c>
      <c r="AJ90" s="359">
        <f>(('Methane Leakage'!$G$6/'Methane Leakage'!$G$5)*102*'Emissions Factors'!$D$10*'Calcs - Power'!$G89+'Emissions Factors'!$D$11*('Calcs - Power'!$H89+'Calcs - Power'!$I89+'Calcs - Power'!$J89+'Calcs - Power'!$K89))</f>
        <v>3195.673125448322</v>
      </c>
      <c r="AK90" s="366">
        <f>(('Methane Leakage'!$G$6/'Methane Leakage'!$G$5)*102*'Emissions Factors'!$D$10*'Calcs - Power'!$B89+'Emissions Factors'!$D$11*('Calcs - Power'!$C89+'Calcs - Power'!$D89+'Calcs - Power'!$E89+'Calcs - Power'!$F89))</f>
        <v>156109.08919030233</v>
      </c>
      <c r="AL90" s="359">
        <f>(102*'Emissions Factors'!$E$10*'Calcs - Power'!$G89+'Emissions Factors'!$E$11*('Calcs - Power'!H89+'Calcs - Power'!I89+'Calcs - Power'!J89+'Calcs - Power'!K89))</f>
        <v>3539.998540092221</v>
      </c>
      <c r="AM90" s="366">
        <f>(102*'Emissions Factors'!$E$10*'Calcs - Power'!$B89+'Emissions Factors'!$E$11*('Calcs - Power'!C89+'Calcs - Power'!D89+'Calcs - Power'!E89+'Calcs - Power'!F89))</f>
        <v>157883.692754983</v>
      </c>
      <c r="AN90" s="359">
        <f>(102*'Emissions Factors'!$D$10*'Calcs - Power'!$G89+'Emissions Factors'!$D$11*('Calcs - Power'!$H89+'Calcs - Power'!$I89+'Calcs - Power'!$J89+'Calcs - Power'!$K89))</f>
        <v>3195.673125448322</v>
      </c>
      <c r="AO90" s="366">
        <f>(102*'Emissions Factors'!$D$10*'Calcs - Power'!$B89+'Emissions Factors'!$D$11*('Calcs - Power'!$C89+'Calcs - Power'!$D89+'Calcs - Power'!$E89+'Calcs - Power'!$F89))</f>
        <v>156109.08919030233</v>
      </c>
      <c r="AP90" s="367">
        <f>(102*'Emissions Factors'!$E$10*'Calcs - Power'!$G89+'Emissions Factors'!$E$11*('Calcs - Power'!H89+'Calcs - Power'!I89+'Calcs - Power'!J89+'Calcs - Power'!K89))</f>
        <v>3539.998540092221</v>
      </c>
      <c r="AQ90" s="366">
        <f>(102*'Emissions Factors'!$E$10*'Calcs - Power'!$B89+'Emissions Factors'!$E$11*('Calcs - Power'!C89+'Calcs - Power'!D89+'Calcs - Power'!E89+'Calcs - Power'!F89))</f>
        <v>157883.692754983</v>
      </c>
      <c r="AS90" s="357"/>
      <c r="AT90" s="357"/>
      <c r="AU90" s="357"/>
      <c r="AV90" s="357"/>
      <c r="AX90" s="358">
        <f t="shared" si="23"/>
        <v>78</v>
      </c>
      <c r="AY90" s="359">
        <f>(('Methane Leakage'!$G$6/'Methane Leakage'!$G$5)*102*'Emissions Factors'!$F$10*'Calcs - Power'!$G89+'Emissions Factors'!$F$11*('Calcs - Power'!$H89+'Calcs - Power'!$I89+'Calcs - Power'!$J89+'Calcs - Power'!$K89))</f>
        <v>4300711.3363187248</v>
      </c>
      <c r="AZ90" s="366">
        <f>(('Methane Leakage'!$G$6/'Methane Leakage'!$G$5)*102*'Emissions Factors'!$F$10*'Calcs - Power'!$B89+'Emissions Factors'!$F$11*('Calcs - Power'!$C89+'Calcs - Power'!$D89+'Calcs - Power'!$E89+'Calcs - Power'!$F89))</f>
        <v>204822150.21995336</v>
      </c>
      <c r="BA90" s="359">
        <f>(102*'Emissions Factors'!$G$10*'Calcs - Power'!$G89+'Emissions Factors'!$G$11*('Calcs - Power'!H89+'Calcs - Power'!I89+'Calcs - Power'!J89+'Calcs - Power'!K89))</f>
        <v>4079221.1602760111</v>
      </c>
      <c r="BB90" s="366">
        <f>(102*'Emissions Factors'!$G$10*'Calcs - Power'!$B89+'Emissions Factors'!$G$11*('Calcs - Power'!C89+'Calcs - Power'!D89+'Calcs - Power'!E89+'Calcs - Power'!F89))</f>
        <v>181341130.80533016</v>
      </c>
      <c r="BC90" s="359">
        <f>(102*'Emissions Factors'!$F$10*'Calcs - Power'!$G89+'Emissions Factors'!$F$11*('Calcs - Power'!$H89+'Calcs - Power'!$I89+'Calcs - Power'!$J89+'Calcs - Power'!$K89))</f>
        <v>4300711.3363187248</v>
      </c>
      <c r="BD90" s="366">
        <f>(102*'Emissions Factors'!$F$10*'Calcs - Power'!$B89+'Emissions Factors'!$F$11*('Calcs - Power'!$C89+'Calcs - Power'!$D89+'Calcs - Power'!$E89+'Calcs - Power'!$F89))</f>
        <v>204822150.21995336</v>
      </c>
      <c r="BE90" s="359">
        <f>(102*'Emissions Factors'!$G$10*'Calcs - Power'!$G89+'Emissions Factors'!$G$11*('Calcs - Power'!H89+'Calcs - Power'!I89+'Calcs - Power'!J89+'Calcs - Power'!K89))</f>
        <v>4079221.1602760111</v>
      </c>
      <c r="BF90" s="366">
        <f>(102*'Emissions Factors'!$G$10*'Calcs - Power'!$B89+'Emissions Factors'!$G$11*('Calcs - Power'!C89+'Calcs - Power'!D89+'Calcs - Power'!E89+'Calcs - Power'!F89))</f>
        <v>181341130.80533016</v>
      </c>
    </row>
    <row r="91" spans="1:58" x14ac:dyDescent="0.3">
      <c r="A91" s="351">
        <f t="shared" si="20"/>
        <v>79</v>
      </c>
      <c r="B91" s="352">
        <f t="shared" si="14"/>
        <v>1</v>
      </c>
      <c r="C91" s="363">
        <f t="shared" si="15"/>
        <v>1</v>
      </c>
      <c r="D91" s="352">
        <f t="shared" si="16"/>
        <v>1</v>
      </c>
      <c r="E91" s="364">
        <f t="shared" si="17"/>
        <v>1</v>
      </c>
      <c r="F91" s="364">
        <f t="shared" si="18"/>
        <v>1</v>
      </c>
      <c r="G91" s="365">
        <f t="shared" si="19"/>
        <v>1</v>
      </c>
      <c r="P91" s="358">
        <f t="shared" si="21"/>
        <v>79</v>
      </c>
      <c r="Q91" s="359">
        <f>(('Methane Leakage'!$C$6/'Methane Leakage'!$C$5)*102*'Emissions Factors'!$C$38*'Calcs - Power'!$G90+'Emissions Factors'!$C$37*('Calcs - Power'!$H90+'Calcs - Power'!$I90+'Calcs - Power'!$J90+'Calcs - Power'!$K90))</f>
        <v>23028.852408810155</v>
      </c>
      <c r="R91" s="366">
        <f>(('Methane Leakage'!$C$6/'Methane Leakage'!$C$5)*102*'Emissions Factors'!$C$38*'Calcs - Power'!$B90+'Emissions Factors'!$C$37*('Calcs - Power'!$C90+'Calcs - Power'!$D90+'Calcs - Power'!$E90+'Calcs - Power'!$F90))</f>
        <v>1112607.2716883102</v>
      </c>
      <c r="S91" s="359">
        <f>(('Methane Leakage'!$C$6/'Methane Leakage'!$C$5)*102*'Emissions Factors'!$D$38*'Calcs - Power'!$G90+'Emissions Factors'!$D$37*('Calcs - Power'!$H90+'Calcs - Power'!$I90+'Calcs - Power'!$J90+'Calcs - Power'!$K90))</f>
        <v>23028.852408810155</v>
      </c>
      <c r="T91" s="366">
        <f>(('Methane Leakage'!$C$6/'Methane Leakage'!$C$5)*102*'Emissions Factors'!$D$38*'Calcs - Power'!$B90+'Emissions Factors'!$D$37*('Calcs - Power'!$C90+'Calcs - Power'!$D90+'Calcs - Power'!$E90+'Calcs - Power'!$F90))</f>
        <v>1112607.2716883102</v>
      </c>
      <c r="U91" s="361">
        <f>(102*'Emissions Factors'!$C$36*'Calcs - Power'!$G90+'Emissions Factors'!$C$35*('Calcs - Power'!$H90+'Calcs - Power'!$I90+'Calcs - Power'!$J90+'Calcs - Power'!$K90))</f>
        <v>39961.129474468624</v>
      </c>
      <c r="V91" s="366">
        <f>(102*'Emissions Factors'!$C$36*'Calcs - Power'!$B90+'Emissions Factors'!$C$35*('Calcs - Power'!$C90+'Calcs - Power'!$D90+'Calcs - Power'!$E90+'Calcs - Power'!$F90))</f>
        <v>1794250.3519130065</v>
      </c>
      <c r="W91" s="359">
        <f>(102*'Emissions Factors'!$D$36*'Calcs - Power'!$G90+'Emissions Factors'!$D$35*('Calcs - Power'!$H90+'Calcs - Power'!$I90+'Calcs - Power'!$J90+'Calcs - Power'!$K90))</f>
        <v>39961.129474468624</v>
      </c>
      <c r="X91" s="366">
        <f>(102*'Emissions Factors'!$D$36*'Calcs - Power'!$B90+'Emissions Factors'!$D$35*('Calcs - Power'!$C90+'Calcs - Power'!$D90+'Calcs - Power'!$E90+'Calcs - Power'!$F90))</f>
        <v>1794250.3519130065</v>
      </c>
      <c r="Y91" s="359">
        <f>(102*'Emissions Factors'!$C$38*'Calcs - Power'!$G90+'Emissions Factors'!$C$37*('Calcs - Power'!$H90+'Calcs - Power'!$I90+'Calcs - Power'!$J90+'Calcs - Power'!$K90))</f>
        <v>23028.852408810155</v>
      </c>
      <c r="Z91" s="366">
        <f>(102*'Emissions Factors'!$C$38*'Calcs - Power'!$B90+'Emissions Factors'!$C$37*('Calcs - Power'!$C90+'Calcs - Power'!$D90+'Calcs - Power'!$E90+'Calcs - Power'!$F90))</f>
        <v>1112607.2716883102</v>
      </c>
      <c r="AA91" s="359">
        <f>(102*'Emissions Factors'!$C$36*'Calcs - Power'!$G90+'Emissions Factors'!$C$35*('Calcs - Power'!$H90+'Calcs - Power'!$I90+'Calcs - Power'!$J90+'Calcs - Power'!$K90))</f>
        <v>39961.129474468624</v>
      </c>
      <c r="AB91" s="366">
        <f>(102*'Emissions Factors'!$C$36*'Calcs - Power'!$B90+'Emissions Factors'!$C$35*('Calcs - Power'!$C90+'Calcs - Power'!$D90+'Calcs - Power'!$E90+'Calcs - Power'!$F90))</f>
        <v>1794250.3519130065</v>
      </c>
      <c r="AI91" s="358">
        <f t="shared" si="22"/>
        <v>79</v>
      </c>
      <c r="AJ91" s="359">
        <f>(('Methane Leakage'!$G$6/'Methane Leakage'!$G$5)*102*'Emissions Factors'!$D$10*'Calcs - Power'!$G90+'Emissions Factors'!$D$11*('Calcs - Power'!$H90+'Calcs - Power'!$I90+'Calcs - Power'!$J90+'Calcs - Power'!$K90))</f>
        <v>3219.8860163868758</v>
      </c>
      <c r="AK91" s="366">
        <f>(('Methane Leakage'!$G$6/'Methane Leakage'!$G$5)*102*'Emissions Factors'!$D$10*'Calcs - Power'!$B90+'Emissions Factors'!$D$11*('Calcs - Power'!$C90+'Calcs - Power'!$D90+'Calcs - Power'!$E90+'Calcs - Power'!$F90))</f>
        <v>159316.87568533557</v>
      </c>
      <c r="AL91" s="359">
        <f>(102*'Emissions Factors'!$E$10*'Calcs - Power'!$G90+'Emissions Factors'!$E$11*('Calcs - Power'!H90+'Calcs - Power'!I90+'Calcs - Power'!J90+'Calcs - Power'!K90))</f>
        <v>3573.317374472741</v>
      </c>
      <c r="AM91" s="366">
        <f>(102*'Emissions Factors'!$E$10*'Calcs - Power'!$B90+'Emissions Factors'!$E$11*('Calcs - Power'!C90+'Calcs - Power'!D90+'Calcs - Power'!E90+'Calcs - Power'!F90))</f>
        <v>161440.35954199824</v>
      </c>
      <c r="AN91" s="359">
        <f>(102*'Emissions Factors'!$D$10*'Calcs - Power'!$G90+'Emissions Factors'!$D$11*('Calcs - Power'!$H90+'Calcs - Power'!$I90+'Calcs - Power'!$J90+'Calcs - Power'!$K90))</f>
        <v>3219.8860163868758</v>
      </c>
      <c r="AO91" s="366">
        <f>(102*'Emissions Factors'!$D$10*'Calcs - Power'!$B90+'Emissions Factors'!$D$11*('Calcs - Power'!$C90+'Calcs - Power'!$D90+'Calcs - Power'!$E90+'Calcs - Power'!$F90))</f>
        <v>159316.87568533557</v>
      </c>
      <c r="AP91" s="367">
        <f>(102*'Emissions Factors'!$E$10*'Calcs - Power'!$G90+'Emissions Factors'!$E$11*('Calcs - Power'!H90+'Calcs - Power'!I90+'Calcs - Power'!J90+'Calcs - Power'!K90))</f>
        <v>3573.317374472741</v>
      </c>
      <c r="AQ91" s="366">
        <f>(102*'Emissions Factors'!$E$10*'Calcs - Power'!$B90+'Emissions Factors'!$E$11*('Calcs - Power'!C90+'Calcs - Power'!D90+'Calcs - Power'!E90+'Calcs - Power'!F90))</f>
        <v>161440.35954199824</v>
      </c>
      <c r="AS91" s="357"/>
      <c r="AT91" s="357"/>
      <c r="AU91" s="357"/>
      <c r="AV91" s="357"/>
      <c r="AX91" s="358">
        <f t="shared" si="23"/>
        <v>79</v>
      </c>
      <c r="AY91" s="359">
        <f>(('Methane Leakage'!$G$6/'Methane Leakage'!$G$5)*102*'Emissions Factors'!$F$10*'Calcs - Power'!$G90+'Emissions Factors'!$F$11*('Calcs - Power'!$H90+'Calcs - Power'!$I90+'Calcs - Power'!$J90+'Calcs - Power'!$K90))</f>
        <v>4335571.7767134197</v>
      </c>
      <c r="AZ91" s="366">
        <f>(('Methane Leakage'!$G$6/'Methane Leakage'!$G$5)*102*'Emissions Factors'!$F$10*'Calcs - Power'!$B90+'Emissions Factors'!$F$11*('Calcs - Power'!$C90+'Calcs - Power'!$D90+'Calcs - Power'!$E90+'Calcs - Power'!$F90))</f>
        <v>209140301.50090536</v>
      </c>
      <c r="BA91" s="359">
        <f>(102*'Emissions Factors'!$G$10*'Calcs - Power'!$G90+'Emissions Factors'!$G$11*('Calcs - Power'!H90+'Calcs - Power'!I90+'Calcs - Power'!J90+'Calcs - Power'!K90))</f>
        <v>4117870.7890009182</v>
      </c>
      <c r="BB91" s="366">
        <f>(102*'Emissions Factors'!$G$10*'Calcs - Power'!$B90+'Emissions Factors'!$G$11*('Calcs - Power'!C90+'Calcs - Power'!D90+'Calcs - Power'!E90+'Calcs - Power'!F90))</f>
        <v>185439687.00028497</v>
      </c>
      <c r="BC91" s="359">
        <f>(102*'Emissions Factors'!$F$10*'Calcs - Power'!$G90+'Emissions Factors'!$F$11*('Calcs - Power'!$H90+'Calcs - Power'!$I90+'Calcs - Power'!$J90+'Calcs - Power'!$K90))</f>
        <v>4335571.7767134197</v>
      </c>
      <c r="BD91" s="366">
        <f>(102*'Emissions Factors'!$F$10*'Calcs - Power'!$B90+'Emissions Factors'!$F$11*('Calcs - Power'!$C90+'Calcs - Power'!$D90+'Calcs - Power'!$E90+'Calcs - Power'!$F90))</f>
        <v>209140301.50090536</v>
      </c>
      <c r="BE91" s="359">
        <f>(102*'Emissions Factors'!$G$10*'Calcs - Power'!$G90+'Emissions Factors'!$G$11*('Calcs - Power'!H90+'Calcs - Power'!I90+'Calcs - Power'!J90+'Calcs - Power'!K90))</f>
        <v>4117870.7890009182</v>
      </c>
      <c r="BF91" s="366">
        <f>(102*'Emissions Factors'!$G$10*'Calcs - Power'!$B90+'Emissions Factors'!$G$11*('Calcs - Power'!C90+'Calcs - Power'!D90+'Calcs - Power'!E90+'Calcs - Power'!F90))</f>
        <v>185439687.00028497</v>
      </c>
    </row>
    <row r="92" spans="1:58" x14ac:dyDescent="0.3">
      <c r="A92" s="351">
        <f t="shared" si="20"/>
        <v>80</v>
      </c>
      <c r="B92" s="352">
        <f t="shared" si="14"/>
        <v>1</v>
      </c>
      <c r="C92" s="363">
        <f t="shared" si="15"/>
        <v>1</v>
      </c>
      <c r="D92" s="352">
        <f t="shared" si="16"/>
        <v>1</v>
      </c>
      <c r="E92" s="364">
        <f t="shared" si="17"/>
        <v>1</v>
      </c>
      <c r="F92" s="364">
        <f t="shared" si="18"/>
        <v>1</v>
      </c>
      <c r="G92" s="365">
        <f t="shared" si="19"/>
        <v>1</v>
      </c>
      <c r="P92" s="358">
        <f t="shared" si="21"/>
        <v>80</v>
      </c>
      <c r="Q92" s="359">
        <f>(('Methane Leakage'!$C$6/'Methane Leakage'!$C$5)*102*'Emissions Factors'!$C$38*'Calcs - Power'!$G91+'Emissions Factors'!$C$37*('Calcs - Power'!$H91+'Calcs - Power'!$I91+'Calcs - Power'!$J91+'Calcs - Power'!$K91))</f>
        <v>23212.676639529698</v>
      </c>
      <c r="R92" s="366">
        <f>(('Methane Leakage'!$C$6/'Methane Leakage'!$C$5)*102*'Emissions Factors'!$C$38*'Calcs - Power'!$B91+'Emissions Factors'!$C$37*('Calcs - Power'!$C91+'Calcs - Power'!$D91+'Calcs - Power'!$E91+'Calcs - Power'!$F91))</f>
        <v>1135728.0867016052</v>
      </c>
      <c r="S92" s="359">
        <f>(('Methane Leakage'!$C$6/'Methane Leakage'!$C$5)*102*'Emissions Factors'!$D$38*'Calcs - Power'!$G91+'Emissions Factors'!$D$37*('Calcs - Power'!$H91+'Calcs - Power'!$I91+'Calcs - Power'!$J91+'Calcs - Power'!$K91))</f>
        <v>23212.676639529698</v>
      </c>
      <c r="T92" s="366">
        <f>(('Methane Leakage'!$C$6/'Methane Leakage'!$C$5)*102*'Emissions Factors'!$D$38*'Calcs - Power'!$B91+'Emissions Factors'!$D$37*('Calcs - Power'!$C91+'Calcs - Power'!$D91+'Calcs - Power'!$E91+'Calcs - Power'!$F91))</f>
        <v>1135728.0867016052</v>
      </c>
      <c r="U92" s="361">
        <f>(102*'Emissions Factors'!$C$36*'Calcs - Power'!$G91+'Emissions Factors'!$C$35*('Calcs - Power'!$H91+'Calcs - Power'!$I91+'Calcs - Power'!$J91+'Calcs - Power'!$K91))</f>
        <v>40337.243580616268</v>
      </c>
      <c r="V92" s="366">
        <f>(102*'Emissions Factors'!$C$36*'Calcs - Power'!$B91+'Emissions Factors'!$C$35*('Calcs - Power'!$C91+'Calcs - Power'!$D91+'Calcs - Power'!$E91+'Calcs - Power'!$F91))</f>
        <v>1834399.6363834103</v>
      </c>
      <c r="W92" s="359">
        <f>(102*'Emissions Factors'!$D$36*'Calcs - Power'!$G91+'Emissions Factors'!$D$35*('Calcs - Power'!$H91+'Calcs - Power'!$I91+'Calcs - Power'!$J91+'Calcs - Power'!$K91))</f>
        <v>40337.243580616268</v>
      </c>
      <c r="X92" s="366">
        <f>(102*'Emissions Factors'!$D$36*'Calcs - Power'!$B91+'Emissions Factors'!$D$35*('Calcs - Power'!$C91+'Calcs - Power'!$D91+'Calcs - Power'!$E91+'Calcs - Power'!$F91))</f>
        <v>1834399.6363834103</v>
      </c>
      <c r="Y92" s="359">
        <f>(102*'Emissions Factors'!$C$38*'Calcs - Power'!$G91+'Emissions Factors'!$C$37*('Calcs - Power'!$H91+'Calcs - Power'!$I91+'Calcs - Power'!$J91+'Calcs - Power'!$K91))</f>
        <v>23212.676639529698</v>
      </c>
      <c r="Z92" s="366">
        <f>(102*'Emissions Factors'!$C$38*'Calcs - Power'!$B91+'Emissions Factors'!$C$37*('Calcs - Power'!$C91+'Calcs - Power'!$D91+'Calcs - Power'!$E91+'Calcs - Power'!$F91))</f>
        <v>1135728.0867016052</v>
      </c>
      <c r="AA92" s="359">
        <f>(102*'Emissions Factors'!$C$36*'Calcs - Power'!$G91+'Emissions Factors'!$C$35*('Calcs - Power'!$H91+'Calcs - Power'!$I91+'Calcs - Power'!$J91+'Calcs - Power'!$K91))</f>
        <v>40337.243580616268</v>
      </c>
      <c r="AB92" s="366">
        <f>(102*'Emissions Factors'!$C$36*'Calcs - Power'!$B91+'Emissions Factors'!$C$35*('Calcs - Power'!$C91+'Calcs - Power'!$D91+'Calcs - Power'!$E91+'Calcs - Power'!$F91))</f>
        <v>1834399.6363834103</v>
      </c>
      <c r="AI92" s="358">
        <f t="shared" si="22"/>
        <v>80</v>
      </c>
      <c r="AJ92" s="359">
        <f>(('Methane Leakage'!$G$6/'Methane Leakage'!$G$5)*102*'Emissions Factors'!$D$10*'Calcs - Power'!$G91+'Emissions Factors'!$D$11*('Calcs - Power'!$H91+'Calcs - Power'!$I91+'Calcs - Power'!$J91+'Calcs - Power'!$K91))</f>
        <v>3244.0167179570826</v>
      </c>
      <c r="AK92" s="366">
        <f>(('Methane Leakage'!$G$6/'Methane Leakage'!$G$5)*102*'Emissions Factors'!$D$10*'Calcs - Power'!$B91+'Emissions Factors'!$D$11*('Calcs - Power'!$C91+'Calcs - Power'!$D91+'Calcs - Power'!$E91+'Calcs - Power'!$F91))</f>
        <v>162548.83382769831</v>
      </c>
      <c r="AL92" s="359">
        <f>(102*'Emissions Factors'!$E$10*'Calcs - Power'!$G91+'Emissions Factors'!$E$11*('Calcs - Power'!H91+'Calcs - Power'!I91+'Calcs - Power'!J91+'Calcs - Power'!K91))</f>
        <v>3606.5311411408038</v>
      </c>
      <c r="AM92" s="366">
        <f>(102*'Emissions Factors'!$E$10*'Calcs - Power'!$B91+'Emissions Factors'!$E$11*('Calcs - Power'!C91+'Calcs - Power'!D91+'Calcs - Power'!E91+'Calcs - Power'!F91))</f>
        <v>165030.29248219918</v>
      </c>
      <c r="AN92" s="359">
        <f>(102*'Emissions Factors'!$D$10*'Calcs - Power'!$G91+'Emissions Factors'!$D$11*('Calcs - Power'!$H91+'Calcs - Power'!$I91+'Calcs - Power'!$J91+'Calcs - Power'!$K91))</f>
        <v>3244.0167179570826</v>
      </c>
      <c r="AO92" s="366">
        <f>(102*'Emissions Factors'!$D$10*'Calcs - Power'!$B91+'Emissions Factors'!$D$11*('Calcs - Power'!$C91+'Calcs - Power'!$D91+'Calcs - Power'!$E91+'Calcs - Power'!$F91))</f>
        <v>162548.83382769831</v>
      </c>
      <c r="AP92" s="367">
        <f>(102*'Emissions Factors'!$E$10*'Calcs - Power'!$G91+'Emissions Factors'!$E$11*('Calcs - Power'!H91+'Calcs - Power'!I91+'Calcs - Power'!J91+'Calcs - Power'!K91))</f>
        <v>3606.5311411408038</v>
      </c>
      <c r="AQ92" s="366">
        <f>(102*'Emissions Factors'!$E$10*'Calcs - Power'!$B91+'Emissions Factors'!$E$11*('Calcs - Power'!C91+'Calcs - Power'!D91+'Calcs - Power'!E91+'Calcs - Power'!F91))</f>
        <v>165030.29248219918</v>
      </c>
      <c r="AS92" s="357"/>
      <c r="AT92" s="357"/>
      <c r="AU92" s="357"/>
      <c r="AV92" s="357"/>
      <c r="AX92" s="358">
        <f t="shared" si="23"/>
        <v>80</v>
      </c>
      <c r="AY92" s="359">
        <f>(('Methane Leakage'!$G$6/'Methane Leakage'!$G$5)*102*'Emissions Factors'!$F$10*'Calcs - Power'!$G91+'Emissions Factors'!$F$11*('Calcs - Power'!$H91+'Calcs - Power'!$I91+'Calcs - Power'!$J91+'Calcs - Power'!$K91))</f>
        <v>4370316.6973303016</v>
      </c>
      <c r="AZ92" s="366">
        <f>(('Methane Leakage'!$G$6/'Methane Leakage'!$G$5)*102*'Emissions Factors'!$F$10*'Calcs - Power'!$B91+'Emissions Factors'!$F$11*('Calcs - Power'!$C91+'Calcs - Power'!$D91+'Calcs - Power'!$E91+'Calcs - Power'!$F91))</f>
        <v>213493255.26811519</v>
      </c>
      <c r="BA92" s="359">
        <f>(102*'Emissions Factors'!$G$10*'Calcs - Power'!$G91+'Emissions Factors'!$G$11*('Calcs - Power'!H91+'Calcs - Power'!I91+'Calcs - Power'!J91+'Calcs - Power'!K91))</f>
        <v>4156398.7941925721</v>
      </c>
      <c r="BB92" s="366">
        <f>(102*'Emissions Factors'!$G$10*'Calcs - Power'!$B91+'Emissions Factors'!$G$11*('Calcs - Power'!C91+'Calcs - Power'!D91+'Calcs - Power'!E91+'Calcs - Power'!F91))</f>
        <v>189576831.84311005</v>
      </c>
      <c r="BC92" s="359">
        <f>(102*'Emissions Factors'!$F$10*'Calcs - Power'!$G91+'Emissions Factors'!$F$11*('Calcs - Power'!$H91+'Calcs - Power'!$I91+'Calcs - Power'!$J91+'Calcs - Power'!$K91))</f>
        <v>4370316.6973303016</v>
      </c>
      <c r="BD92" s="366">
        <f>(102*'Emissions Factors'!$F$10*'Calcs - Power'!$B91+'Emissions Factors'!$F$11*('Calcs - Power'!$C91+'Calcs - Power'!$D91+'Calcs - Power'!$E91+'Calcs - Power'!$F91))</f>
        <v>213493255.26811519</v>
      </c>
      <c r="BE92" s="359">
        <f>(102*'Emissions Factors'!$G$10*'Calcs - Power'!$G91+'Emissions Factors'!$G$11*('Calcs - Power'!H91+'Calcs - Power'!I91+'Calcs - Power'!J91+'Calcs - Power'!K91))</f>
        <v>4156398.7941925721</v>
      </c>
      <c r="BF92" s="366">
        <f>(102*'Emissions Factors'!$G$10*'Calcs - Power'!$B91+'Emissions Factors'!$G$11*('Calcs - Power'!C91+'Calcs - Power'!D91+'Calcs - Power'!E91+'Calcs - Power'!F91))</f>
        <v>189576831.84311005</v>
      </c>
    </row>
    <row r="93" spans="1:58" x14ac:dyDescent="0.3">
      <c r="A93" s="351">
        <f t="shared" si="20"/>
        <v>81</v>
      </c>
      <c r="B93" s="352">
        <f t="shared" si="14"/>
        <v>1</v>
      </c>
      <c r="C93" s="363">
        <f t="shared" si="15"/>
        <v>1</v>
      </c>
      <c r="D93" s="352">
        <f t="shared" si="16"/>
        <v>1</v>
      </c>
      <c r="E93" s="364">
        <f t="shared" si="17"/>
        <v>1</v>
      </c>
      <c r="F93" s="364">
        <f t="shared" si="18"/>
        <v>1</v>
      </c>
      <c r="G93" s="365">
        <f t="shared" si="19"/>
        <v>1</v>
      </c>
      <c r="P93" s="358">
        <f t="shared" si="21"/>
        <v>81</v>
      </c>
      <c r="Q93" s="359">
        <f>(('Methane Leakage'!$C$6/'Methane Leakage'!$C$5)*102*'Emissions Factors'!$C$38*'Calcs - Power'!$G92+'Emissions Factors'!$C$37*('Calcs - Power'!$H92+'Calcs - Power'!$I92+'Calcs - Power'!$J92+'Calcs - Power'!$K92))</f>
        <v>23395.900934399349</v>
      </c>
      <c r="R93" s="366">
        <f>(('Methane Leakage'!$C$6/'Methane Leakage'!$C$5)*102*'Emissions Factors'!$C$38*'Calcs - Power'!$B92+'Emissions Factors'!$C$37*('Calcs - Power'!$C92+'Calcs - Power'!$D92+'Calcs - Power'!$E92+'Calcs - Power'!$F92))</f>
        <v>1159032.4249953977</v>
      </c>
      <c r="S93" s="359">
        <f>(('Methane Leakage'!$C$6/'Methane Leakage'!$C$5)*102*'Emissions Factors'!$D$38*'Calcs - Power'!$G92+'Emissions Factors'!$D$37*('Calcs - Power'!$H92+'Calcs - Power'!$I92+'Calcs - Power'!$J92+'Calcs - Power'!$K92))</f>
        <v>23395.900934399349</v>
      </c>
      <c r="T93" s="366">
        <f>(('Methane Leakage'!$C$6/'Methane Leakage'!$C$5)*102*'Emissions Factors'!$D$38*'Calcs - Power'!$B92+'Emissions Factors'!$D$37*('Calcs - Power'!$C92+'Calcs - Power'!$D92+'Calcs - Power'!$E92+'Calcs - Power'!$F92))</f>
        <v>1159032.4249953977</v>
      </c>
      <c r="U93" s="361">
        <f>(102*'Emissions Factors'!$C$36*'Calcs - Power'!$G92+'Emissions Factors'!$C$35*('Calcs - Power'!$H92+'Calcs - Power'!$I92+'Calcs - Power'!$J92+'Calcs - Power'!$K92))</f>
        <v>40712.191831639189</v>
      </c>
      <c r="V93" s="366">
        <f>(102*'Emissions Factors'!$C$36*'Calcs - Power'!$B92+'Emissions Factors'!$C$35*('Calcs - Power'!$C92+'Calcs - Power'!$D92+'Calcs - Power'!$E92+'Calcs - Power'!$F92))</f>
        <v>1874924.4504645308</v>
      </c>
      <c r="W93" s="359">
        <f>(102*'Emissions Factors'!$D$36*'Calcs - Power'!$G92+'Emissions Factors'!$D$35*('Calcs - Power'!$H92+'Calcs - Power'!$I92+'Calcs - Power'!$J92+'Calcs - Power'!$K92))</f>
        <v>40712.191831639189</v>
      </c>
      <c r="X93" s="366">
        <f>(102*'Emissions Factors'!$D$36*'Calcs - Power'!$B92+'Emissions Factors'!$D$35*('Calcs - Power'!$C92+'Calcs - Power'!$D92+'Calcs - Power'!$E92+'Calcs - Power'!$F92))</f>
        <v>1874924.4504645308</v>
      </c>
      <c r="Y93" s="359">
        <f>(102*'Emissions Factors'!$C$38*'Calcs - Power'!$G92+'Emissions Factors'!$C$37*('Calcs - Power'!$H92+'Calcs - Power'!$I92+'Calcs - Power'!$J92+'Calcs - Power'!$K92))</f>
        <v>23395.900934399349</v>
      </c>
      <c r="Z93" s="366">
        <f>(102*'Emissions Factors'!$C$38*'Calcs - Power'!$B92+'Emissions Factors'!$C$37*('Calcs - Power'!$C92+'Calcs - Power'!$D92+'Calcs - Power'!$E92+'Calcs - Power'!$F92))</f>
        <v>1159032.4249953977</v>
      </c>
      <c r="AA93" s="359">
        <f>(102*'Emissions Factors'!$C$36*'Calcs - Power'!$G92+'Emissions Factors'!$C$35*('Calcs - Power'!$H92+'Calcs - Power'!$I92+'Calcs - Power'!$J92+'Calcs - Power'!$K92))</f>
        <v>40712.191831639189</v>
      </c>
      <c r="AB93" s="366">
        <f>(102*'Emissions Factors'!$C$36*'Calcs - Power'!$B92+'Emissions Factors'!$C$35*('Calcs - Power'!$C92+'Calcs - Power'!$D92+'Calcs - Power'!$E92+'Calcs - Power'!$F92))</f>
        <v>1874924.4504645308</v>
      </c>
      <c r="AI93" s="358">
        <f t="shared" si="22"/>
        <v>81</v>
      </c>
      <c r="AJ93" s="359">
        <f>(('Methane Leakage'!$G$6/'Methane Leakage'!$G$5)*102*'Emissions Factors'!$D$10*'Calcs - Power'!$G92+'Emissions Factors'!$D$11*('Calcs - Power'!$H92+'Calcs - Power'!$I92+'Calcs - Power'!$J92+'Calcs - Power'!$K92))</f>
        <v>3268.0669699099467</v>
      </c>
      <c r="AK93" s="366">
        <f>(('Methane Leakage'!$G$6/'Methane Leakage'!$G$5)*102*'Emissions Factors'!$D$10*'Calcs - Power'!$B92+'Emissions Factors'!$D$11*('Calcs - Power'!$C92+'Calcs - Power'!$D92+'Calcs - Power'!$E92+'Calcs - Power'!$F92))</f>
        <v>165804.88230571843</v>
      </c>
      <c r="AL93" s="359">
        <f>(102*'Emissions Factors'!$E$10*'Calcs - Power'!$G92+'Emissions Factors'!$E$11*('Calcs - Power'!H92+'Calcs - Power'!I92+'Calcs - Power'!J92+'Calcs - Power'!K92))</f>
        <v>3639.641571049935</v>
      </c>
      <c r="AM93" s="366">
        <f>(102*'Emissions Factors'!$E$10*'Calcs - Power'!$B92+'Emissions Factors'!$E$11*('Calcs - Power'!C92+'Calcs - Power'!D92+'Calcs - Power'!E92+'Calcs - Power'!F92))</f>
        <v>168653.38737948949</v>
      </c>
      <c r="AN93" s="359">
        <f>(102*'Emissions Factors'!$D$10*'Calcs - Power'!$G92+'Emissions Factors'!$D$11*('Calcs - Power'!$H92+'Calcs - Power'!$I92+'Calcs - Power'!$J92+'Calcs - Power'!$K92))</f>
        <v>3268.0669699099467</v>
      </c>
      <c r="AO93" s="366">
        <f>(102*'Emissions Factors'!$D$10*'Calcs - Power'!$B92+'Emissions Factors'!$D$11*('Calcs - Power'!$C92+'Calcs - Power'!$D92+'Calcs - Power'!$E92+'Calcs - Power'!$F92))</f>
        <v>165804.88230571843</v>
      </c>
      <c r="AP93" s="367">
        <f>(102*'Emissions Factors'!$E$10*'Calcs - Power'!$G92+'Emissions Factors'!$E$11*('Calcs - Power'!H92+'Calcs - Power'!I92+'Calcs - Power'!J92+'Calcs - Power'!K92))</f>
        <v>3639.641571049935</v>
      </c>
      <c r="AQ93" s="366">
        <f>(102*'Emissions Factors'!$E$10*'Calcs - Power'!$B92+'Emissions Factors'!$E$11*('Calcs - Power'!C92+'Calcs - Power'!D92+'Calcs - Power'!E92+'Calcs - Power'!F92))</f>
        <v>168653.38737948949</v>
      </c>
      <c r="AS93" s="357"/>
      <c r="AT93" s="357"/>
      <c r="AU93" s="357"/>
      <c r="AV93" s="357"/>
      <c r="AX93" s="358">
        <f t="shared" si="23"/>
        <v>81</v>
      </c>
      <c r="AY93" s="359">
        <f>(('Methane Leakage'!$G$6/'Methane Leakage'!$G$5)*102*'Emissions Factors'!$F$10*'Calcs - Power'!$G92+'Emissions Factors'!$F$11*('Calcs - Power'!$H92+'Calcs - Power'!$I92+'Calcs - Power'!$J92+'Calcs - Power'!$K92))</f>
        <v>4404948.3707957333</v>
      </c>
      <c r="AZ93" s="366">
        <f>(('Methane Leakage'!$G$6/'Methane Leakage'!$G$5)*102*'Emissions Factors'!$F$10*'Calcs - Power'!$B92+'Emissions Factors'!$F$11*('Calcs - Power'!$C92+'Calcs - Power'!$D92+'Calcs - Power'!$E92+'Calcs - Power'!$F92))</f>
        <v>217880897.14775959</v>
      </c>
      <c r="BA93" s="359">
        <f>(102*'Emissions Factors'!$G$10*'Calcs - Power'!$G92+'Emissions Factors'!$G$11*('Calcs - Power'!H92+'Calcs - Power'!I92+'Calcs - Power'!J92+'Calcs - Power'!K92))</f>
        <v>4194807.1627483275</v>
      </c>
      <c r="BB93" s="366">
        <f>(102*'Emissions Factors'!$G$10*'Calcs - Power'!$B92+'Emissions Factors'!$G$11*('Calcs - Power'!C92+'Calcs - Power'!D92+'Calcs - Power'!E92+'Calcs - Power'!F92))</f>
        <v>193752444.71069607</v>
      </c>
      <c r="BC93" s="359">
        <f>(102*'Emissions Factors'!$F$10*'Calcs - Power'!$G92+'Emissions Factors'!$F$11*('Calcs - Power'!$H92+'Calcs - Power'!$I92+'Calcs - Power'!$J92+'Calcs - Power'!$K92))</f>
        <v>4404948.3707957333</v>
      </c>
      <c r="BD93" s="366">
        <f>(102*'Emissions Factors'!$F$10*'Calcs - Power'!$B92+'Emissions Factors'!$F$11*('Calcs - Power'!$C92+'Calcs - Power'!$D92+'Calcs - Power'!$E92+'Calcs - Power'!$F92))</f>
        <v>217880897.14775959</v>
      </c>
      <c r="BE93" s="359">
        <f>(102*'Emissions Factors'!$G$10*'Calcs - Power'!$G92+'Emissions Factors'!$G$11*('Calcs - Power'!H92+'Calcs - Power'!I92+'Calcs - Power'!J92+'Calcs - Power'!K92))</f>
        <v>4194807.1627483275</v>
      </c>
      <c r="BF93" s="366">
        <f>(102*'Emissions Factors'!$G$10*'Calcs - Power'!$B92+'Emissions Factors'!$G$11*('Calcs - Power'!C92+'Calcs - Power'!D92+'Calcs - Power'!E92+'Calcs - Power'!F92))</f>
        <v>193752444.71069607</v>
      </c>
    </row>
    <row r="94" spans="1:58" x14ac:dyDescent="0.3">
      <c r="A94" s="351">
        <f t="shared" si="20"/>
        <v>82</v>
      </c>
      <c r="B94" s="352">
        <f t="shared" si="14"/>
        <v>1</v>
      </c>
      <c r="C94" s="363">
        <f t="shared" si="15"/>
        <v>0.99999999999999978</v>
      </c>
      <c r="D94" s="352">
        <f t="shared" si="16"/>
        <v>1</v>
      </c>
      <c r="E94" s="364">
        <f t="shared" si="17"/>
        <v>1</v>
      </c>
      <c r="F94" s="364">
        <f t="shared" si="18"/>
        <v>1</v>
      </c>
      <c r="G94" s="365">
        <f t="shared" si="19"/>
        <v>1</v>
      </c>
      <c r="P94" s="358">
        <f t="shared" si="21"/>
        <v>82</v>
      </c>
      <c r="Q94" s="359">
        <f>(('Methane Leakage'!$C$6/'Methane Leakage'!$C$5)*102*'Emissions Factors'!$C$38*'Calcs - Power'!$G93+'Emissions Factors'!$C$37*('Calcs - Power'!$H93+'Calcs - Power'!$I93+'Calcs - Power'!$J93+'Calcs - Power'!$K93))</f>
        <v>23578.5367888982</v>
      </c>
      <c r="R94" s="366">
        <f>(('Methane Leakage'!$C$6/'Methane Leakage'!$C$5)*102*'Emissions Factors'!$C$38*'Calcs - Power'!$B93+'Emissions Factors'!$C$37*('Calcs - Power'!$C93+'Calcs - Power'!$D93+'Calcs - Power'!$E93+'Calcs - Power'!$F93))</f>
        <v>1182519.6924298424</v>
      </c>
      <c r="S94" s="359">
        <f>(('Methane Leakage'!$C$6/'Methane Leakage'!$C$5)*102*'Emissions Factors'!$D$38*'Calcs - Power'!$G93+'Emissions Factors'!$D$37*('Calcs - Power'!$H93+'Calcs - Power'!$I93+'Calcs - Power'!$J93+'Calcs - Power'!$K93))</f>
        <v>23578.5367888982</v>
      </c>
      <c r="T94" s="366">
        <f>(('Methane Leakage'!$C$6/'Methane Leakage'!$C$5)*102*'Emissions Factors'!$D$38*'Calcs - Power'!$B93+'Emissions Factors'!$D$37*('Calcs - Power'!$C93+'Calcs - Power'!$D93+'Calcs - Power'!$E93+'Calcs - Power'!$F93))</f>
        <v>1182519.6924298424</v>
      </c>
      <c r="U94" s="361">
        <f>(102*'Emissions Factors'!$C$36*'Calcs - Power'!$G93+'Emissions Factors'!$C$35*('Calcs - Power'!$H93+'Calcs - Power'!$I93+'Calcs - Power'!$J93+'Calcs - Power'!$K93))</f>
        <v>41085.992659519936</v>
      </c>
      <c r="V94" s="366">
        <f>(102*'Emissions Factors'!$C$36*'Calcs - Power'!$B93+'Emissions Factors'!$C$35*('Calcs - Power'!$C93+'Calcs - Power'!$D93+'Calcs - Power'!$E93+'Calcs - Power'!$F93))</f>
        <v>1915823.6375805186</v>
      </c>
      <c r="W94" s="359">
        <f>(102*'Emissions Factors'!$D$36*'Calcs - Power'!$G93+'Emissions Factors'!$D$35*('Calcs - Power'!$H93+'Calcs - Power'!$I93+'Calcs - Power'!$J93+'Calcs - Power'!$K93))</f>
        <v>41085.992659519936</v>
      </c>
      <c r="X94" s="366">
        <f>(102*'Emissions Factors'!$D$36*'Calcs - Power'!$B93+'Emissions Factors'!$D$35*('Calcs - Power'!$C93+'Calcs - Power'!$D93+'Calcs - Power'!$E93+'Calcs - Power'!$F93))</f>
        <v>1915823.6375805186</v>
      </c>
      <c r="Y94" s="359">
        <f>(102*'Emissions Factors'!$C$38*'Calcs - Power'!$G93+'Emissions Factors'!$C$37*('Calcs - Power'!$H93+'Calcs - Power'!$I93+'Calcs - Power'!$J93+'Calcs - Power'!$K93))</f>
        <v>23578.5367888982</v>
      </c>
      <c r="Z94" s="366">
        <f>(102*'Emissions Factors'!$C$38*'Calcs - Power'!$B93+'Emissions Factors'!$C$37*('Calcs - Power'!$C93+'Calcs - Power'!$D93+'Calcs - Power'!$E93+'Calcs - Power'!$F93))</f>
        <v>1182519.6924298424</v>
      </c>
      <c r="AA94" s="359">
        <f>(102*'Emissions Factors'!$C$36*'Calcs - Power'!$G93+'Emissions Factors'!$C$35*('Calcs - Power'!$H93+'Calcs - Power'!$I93+'Calcs - Power'!$J93+'Calcs - Power'!$K93))</f>
        <v>41085.992659519936</v>
      </c>
      <c r="AB94" s="366">
        <f>(102*'Emissions Factors'!$C$36*'Calcs - Power'!$B93+'Emissions Factors'!$C$35*('Calcs - Power'!$C93+'Calcs - Power'!$D93+'Calcs - Power'!$E93+'Calcs - Power'!$F93))</f>
        <v>1915823.6375805186</v>
      </c>
      <c r="AI94" s="358">
        <f t="shared" si="22"/>
        <v>82</v>
      </c>
      <c r="AJ94" s="359">
        <f>(('Methane Leakage'!$G$6/'Methane Leakage'!$G$5)*102*'Emissions Factors'!$D$10*'Calcs - Power'!$G93+'Emissions Factors'!$D$11*('Calcs - Power'!$H93+'Calcs - Power'!$I93+'Calcs - Power'!$J93+'Calcs - Power'!$K93))</f>
        <v>3292.0384212329841</v>
      </c>
      <c r="AK94" s="366">
        <f>(('Methane Leakage'!$G$6/'Methane Leakage'!$G$5)*102*'Emissions Factors'!$D$10*'Calcs - Power'!$B93+'Emissions Factors'!$D$11*('Calcs - Power'!$C93+'Calcs - Power'!$D93+'Calcs - Power'!$E93+'Calcs - Power'!$F93))</f>
        <v>169084.94150158399</v>
      </c>
      <c r="AL94" s="359">
        <f>(102*'Emissions Factors'!$E$10*'Calcs - Power'!$G93+'Emissions Factors'!$E$11*('Calcs - Power'!H93+'Calcs - Power'!I93+'Calcs - Power'!J93+'Calcs - Power'!K93))</f>
        <v>3672.6503234823786</v>
      </c>
      <c r="AM94" s="366">
        <f>(102*'Emissions Factors'!$E$10*'Calcs - Power'!$B93+'Emissions Factors'!$E$11*('Calcs - Power'!C93+'Calcs - Power'!D93+'Calcs - Power'!E93+'Calcs - Power'!F93))</f>
        <v>172309.54173256003</v>
      </c>
      <c r="AN94" s="359">
        <f>(102*'Emissions Factors'!$D$10*'Calcs - Power'!$G93+'Emissions Factors'!$D$11*('Calcs - Power'!$H93+'Calcs - Power'!$I93+'Calcs - Power'!$J93+'Calcs - Power'!$K93))</f>
        <v>3292.0384212329841</v>
      </c>
      <c r="AO94" s="366">
        <f>(102*'Emissions Factors'!$D$10*'Calcs - Power'!$B93+'Emissions Factors'!$D$11*('Calcs - Power'!$C93+'Calcs - Power'!$D93+'Calcs - Power'!$E93+'Calcs - Power'!$F93))</f>
        <v>169084.94150158399</v>
      </c>
      <c r="AP94" s="367">
        <f>(102*'Emissions Factors'!$E$10*'Calcs - Power'!$G93+'Emissions Factors'!$E$11*('Calcs - Power'!H93+'Calcs - Power'!I93+'Calcs - Power'!J93+'Calcs - Power'!K93))</f>
        <v>3672.6503234823786</v>
      </c>
      <c r="AQ94" s="366">
        <f>(102*'Emissions Factors'!$E$10*'Calcs - Power'!$B93+'Emissions Factors'!$E$11*('Calcs - Power'!C93+'Calcs - Power'!D93+'Calcs - Power'!E93+'Calcs - Power'!F93))</f>
        <v>172309.54173256003</v>
      </c>
      <c r="AS94" s="357"/>
      <c r="AT94" s="357"/>
      <c r="AU94" s="357"/>
      <c r="AV94" s="357"/>
      <c r="AX94" s="358">
        <f t="shared" si="23"/>
        <v>82</v>
      </c>
      <c r="AY94" s="359">
        <f>(('Methane Leakage'!$G$6/'Methane Leakage'!$G$5)*102*'Emissions Factors'!$F$10*'Calcs - Power'!$G93+'Emissions Factors'!$F$11*('Calcs - Power'!$H93+'Calcs - Power'!$I93+'Calcs - Power'!$J93+'Calcs - Power'!$K93))</f>
        <v>4439468.9576966306</v>
      </c>
      <c r="AZ94" s="366">
        <f>(('Methane Leakage'!$G$6/'Methane Leakage'!$G$5)*102*'Emissions Factors'!$F$10*'Calcs - Power'!$B93+'Emissions Factors'!$F$11*('Calcs - Power'!$C93+'Calcs - Power'!$D93+'Calcs - Power'!$E93+'Calcs - Power'!$F93))</f>
        <v>222303114.98201829</v>
      </c>
      <c r="BA94" s="359">
        <f>(102*'Emissions Factors'!$G$10*'Calcs - Power'!$G93+'Emissions Factors'!$G$11*('Calcs - Power'!H93+'Calcs - Power'!I93+'Calcs - Power'!J93+'Calcs - Power'!K93))</f>
        <v>4233097.8001128109</v>
      </c>
      <c r="BB94" s="366">
        <f>(102*'Emissions Factors'!$G$10*'Calcs - Power'!$B93+'Emissions Factors'!$G$11*('Calcs - Power'!C93+'Calcs - Power'!D93+'Calcs - Power'!E93+'Calcs - Power'!F93))</f>
        <v>197966406.92573282</v>
      </c>
      <c r="BC94" s="359">
        <f>(102*'Emissions Factors'!$F$10*'Calcs - Power'!$G93+'Emissions Factors'!$F$11*('Calcs - Power'!$H93+'Calcs - Power'!$I93+'Calcs - Power'!$J93+'Calcs - Power'!$K93))</f>
        <v>4439468.9576966306</v>
      </c>
      <c r="BD94" s="366">
        <f>(102*'Emissions Factors'!$F$10*'Calcs - Power'!$B93+'Emissions Factors'!$F$11*('Calcs - Power'!$C93+'Calcs - Power'!$D93+'Calcs - Power'!$E93+'Calcs - Power'!$F93))</f>
        <v>222303114.98201829</v>
      </c>
      <c r="BE94" s="359">
        <f>(102*'Emissions Factors'!$G$10*'Calcs - Power'!$G93+'Emissions Factors'!$G$11*('Calcs - Power'!H93+'Calcs - Power'!I93+'Calcs - Power'!J93+'Calcs - Power'!K93))</f>
        <v>4233097.8001128109</v>
      </c>
      <c r="BF94" s="366">
        <f>(102*'Emissions Factors'!$G$10*'Calcs - Power'!$B93+'Emissions Factors'!$G$11*('Calcs - Power'!C93+'Calcs - Power'!D93+'Calcs - Power'!E93+'Calcs - Power'!F93))</f>
        <v>197966406.92573282</v>
      </c>
    </row>
    <row r="95" spans="1:58" x14ac:dyDescent="0.3">
      <c r="A95" s="351">
        <f t="shared" si="20"/>
        <v>83</v>
      </c>
      <c r="B95" s="352">
        <f t="shared" si="14"/>
        <v>1</v>
      </c>
      <c r="C95" s="363">
        <f t="shared" si="15"/>
        <v>1</v>
      </c>
      <c r="D95" s="352">
        <f t="shared" si="16"/>
        <v>1</v>
      </c>
      <c r="E95" s="364">
        <f t="shared" si="17"/>
        <v>1</v>
      </c>
      <c r="F95" s="364">
        <f t="shared" si="18"/>
        <v>1</v>
      </c>
      <c r="G95" s="365">
        <f t="shared" si="19"/>
        <v>1</v>
      </c>
      <c r="P95" s="358">
        <f t="shared" si="21"/>
        <v>83</v>
      </c>
      <c r="Q95" s="359">
        <f>(('Methane Leakage'!$C$6/'Methane Leakage'!$C$5)*102*'Emissions Factors'!$C$38*'Calcs - Power'!$G94+'Emissions Factors'!$C$37*('Calcs - Power'!$H94+'Calcs - Power'!$I94+'Calcs - Power'!$J94+'Calcs - Power'!$K94))</f>
        <v>23760.59513762144</v>
      </c>
      <c r="R95" s="366">
        <f>(('Methane Leakage'!$C$6/'Methane Leakage'!$C$5)*102*'Emissions Factors'!$C$38*'Calcs - Power'!$B94+'Emissions Factors'!$C$37*('Calcs - Power'!$C94+'Calcs - Power'!$D94+'Calcs - Power'!$E94+'Calcs - Power'!$F94))</f>
        <v>1206189.3060771096</v>
      </c>
      <c r="S95" s="359">
        <f>(('Methane Leakage'!$C$6/'Methane Leakage'!$C$5)*102*'Emissions Factors'!$D$38*'Calcs - Power'!$G94+'Emissions Factors'!$D$37*('Calcs - Power'!$H94+'Calcs - Power'!$I94+'Calcs - Power'!$J94+'Calcs - Power'!$K94))</f>
        <v>23760.59513762144</v>
      </c>
      <c r="T95" s="366">
        <f>(('Methane Leakage'!$C$6/'Methane Leakage'!$C$5)*102*'Emissions Factors'!$D$38*'Calcs - Power'!$B94+'Emissions Factors'!$D$37*('Calcs - Power'!$C94+'Calcs - Power'!$D94+'Calcs - Power'!$E94+'Calcs - Power'!$F94))</f>
        <v>1206189.3060771096</v>
      </c>
      <c r="U95" s="361">
        <f>(102*'Emissions Factors'!$C$36*'Calcs - Power'!$G94+'Emissions Factors'!$C$35*('Calcs - Power'!$H94+'Calcs - Power'!$I94+'Calcs - Power'!$J94+'Calcs - Power'!$K94))</f>
        <v>41458.663757053451</v>
      </c>
      <c r="V95" s="366">
        <f>(102*'Emissions Factors'!$C$36*'Calcs - Power'!$B94+'Emissions Factors'!$C$35*('Calcs - Power'!$C94+'Calcs - Power'!$D94+'Calcs - Power'!$E94+'Calcs - Power'!$F94))</f>
        <v>1957096.0592145678</v>
      </c>
      <c r="W95" s="359">
        <f>(102*'Emissions Factors'!$D$36*'Calcs - Power'!$G94+'Emissions Factors'!$D$35*('Calcs - Power'!$H94+'Calcs - Power'!$I94+'Calcs - Power'!$J94+'Calcs - Power'!$K94))</f>
        <v>41458.663757053451</v>
      </c>
      <c r="X95" s="366">
        <f>(102*'Emissions Factors'!$D$36*'Calcs - Power'!$B94+'Emissions Factors'!$D$35*('Calcs - Power'!$C94+'Calcs - Power'!$D94+'Calcs - Power'!$E94+'Calcs - Power'!$F94))</f>
        <v>1957096.0592145678</v>
      </c>
      <c r="Y95" s="359">
        <f>(102*'Emissions Factors'!$C$38*'Calcs - Power'!$G94+'Emissions Factors'!$C$37*('Calcs - Power'!$H94+'Calcs - Power'!$I94+'Calcs - Power'!$J94+'Calcs - Power'!$K94))</f>
        <v>23760.59513762144</v>
      </c>
      <c r="Z95" s="366">
        <f>(102*'Emissions Factors'!$C$38*'Calcs - Power'!$B94+'Emissions Factors'!$C$37*('Calcs - Power'!$C94+'Calcs - Power'!$D94+'Calcs - Power'!$E94+'Calcs - Power'!$F94))</f>
        <v>1206189.3060771096</v>
      </c>
      <c r="AA95" s="359">
        <f>(102*'Emissions Factors'!$C$36*'Calcs - Power'!$G94+'Emissions Factors'!$C$35*('Calcs - Power'!$H94+'Calcs - Power'!$I94+'Calcs - Power'!$J94+'Calcs - Power'!$K94))</f>
        <v>41458.663757053451</v>
      </c>
      <c r="AB95" s="366">
        <f>(102*'Emissions Factors'!$C$36*'Calcs - Power'!$B94+'Emissions Factors'!$C$35*('Calcs - Power'!$C94+'Calcs - Power'!$D94+'Calcs - Power'!$E94+'Calcs - Power'!$F94))</f>
        <v>1957096.0592145678</v>
      </c>
      <c r="AI95" s="358">
        <f t="shared" si="22"/>
        <v>83</v>
      </c>
      <c r="AJ95" s="359">
        <f>(('Methane Leakage'!$G$6/'Methane Leakage'!$G$5)*102*'Emissions Factors'!$D$10*'Calcs - Power'!$G94+'Emissions Factors'!$D$11*('Calcs - Power'!$H94+'Calcs - Power'!$I94+'Calcs - Power'!$J94+'Calcs - Power'!$K94))</f>
        <v>3315.9326360517116</v>
      </c>
      <c r="AK95" s="366">
        <f>(('Methane Leakage'!$G$6/'Methane Leakage'!$G$5)*102*'Emissions Factors'!$D$10*'Calcs - Power'!$B94+'Emissions Factors'!$D$11*('Calcs - Power'!$C94+'Calcs - Power'!$D94+'Calcs - Power'!$E94+'Calcs - Power'!$F94))</f>
        <v>172388.93340356444</v>
      </c>
      <c r="AL95" s="359">
        <f>(102*'Emissions Factors'!$E$10*'Calcs - Power'!$G94+'Emissions Factors'!$E$11*('Calcs - Power'!H94+'Calcs - Power'!I94+'Calcs - Power'!J94+'Calcs - Power'!K94))</f>
        <v>3705.5589899083857</v>
      </c>
      <c r="AM95" s="366">
        <f>(102*'Emissions Factors'!$E$10*'Calcs - Power'!$B94+'Emissions Factors'!$E$11*('Calcs - Power'!C94+'Calcs - Power'!D94+'Calcs - Power'!E94+'Calcs - Power'!F94))</f>
        <v>175998.65466516497</v>
      </c>
      <c r="AN95" s="359">
        <f>(102*'Emissions Factors'!$D$10*'Calcs - Power'!$G94+'Emissions Factors'!$D$11*('Calcs - Power'!$H94+'Calcs - Power'!$I94+'Calcs - Power'!$J94+'Calcs - Power'!$K94))</f>
        <v>3315.9326360517116</v>
      </c>
      <c r="AO95" s="366">
        <f>(102*'Emissions Factors'!$D$10*'Calcs - Power'!$B94+'Emissions Factors'!$D$11*('Calcs - Power'!$C94+'Calcs - Power'!$D94+'Calcs - Power'!$E94+'Calcs - Power'!$F94))</f>
        <v>172388.93340356444</v>
      </c>
      <c r="AP95" s="367">
        <f>(102*'Emissions Factors'!$E$10*'Calcs - Power'!$G94+'Emissions Factors'!$E$11*('Calcs - Power'!H94+'Calcs - Power'!I94+'Calcs - Power'!J94+'Calcs - Power'!K94))</f>
        <v>3705.5589899083857</v>
      </c>
      <c r="AQ95" s="366">
        <f>(102*'Emissions Factors'!$E$10*'Calcs - Power'!$B94+'Emissions Factors'!$E$11*('Calcs - Power'!C94+'Calcs - Power'!D94+'Calcs - Power'!E94+'Calcs - Power'!F94))</f>
        <v>175998.65466516497</v>
      </c>
      <c r="AS95" s="357"/>
      <c r="AT95" s="357"/>
      <c r="AU95" s="357"/>
      <c r="AV95" s="357"/>
      <c r="AX95" s="358">
        <f t="shared" si="23"/>
        <v>83</v>
      </c>
      <c r="AY95" s="359">
        <f>(('Methane Leakage'!$G$6/'Methane Leakage'!$G$5)*102*'Emissions Factors'!$F$10*'Calcs - Power'!$G94+'Emissions Factors'!$F$11*('Calcs - Power'!$H94+'Calcs - Power'!$I94+'Calcs - Power'!$J94+'Calcs - Power'!$K94))</f>
        <v>4473880.5135849342</v>
      </c>
      <c r="AZ95" s="366">
        <f>(('Methane Leakage'!$G$6/'Methane Leakage'!$G$5)*102*'Emissions Factors'!$F$10*'Calcs - Power'!$B94+'Emissions Factors'!$F$11*('Calcs - Power'!$C94+'Calcs - Power'!$D94+'Calcs - Power'!$E94+'Calcs - Power'!$F94))</f>
        <v>226759798.72057596</v>
      </c>
      <c r="BA95" s="359">
        <f>(102*'Emissions Factors'!$G$10*'Calcs - Power'!$G94+'Emissions Factors'!$G$11*('Calcs - Power'!H94+'Calcs - Power'!I94+'Calcs - Power'!J94+'Calcs - Power'!K94))</f>
        <v>4271272.5346197179</v>
      </c>
      <c r="BB95" s="366">
        <f>(102*'Emissions Factors'!$G$10*'Calcs - Power'!$B94+'Emissions Factors'!$G$11*('Calcs - Power'!C94+'Calcs - Power'!D94+'Calcs - Power'!E94+'Calcs - Power'!F94))</f>
        <v>202218601.67744693</v>
      </c>
      <c r="BC95" s="359">
        <f>(102*'Emissions Factors'!$F$10*'Calcs - Power'!$G94+'Emissions Factors'!$F$11*('Calcs - Power'!$H94+'Calcs - Power'!$I94+'Calcs - Power'!$J94+'Calcs - Power'!$K94))</f>
        <v>4473880.5135849342</v>
      </c>
      <c r="BD95" s="366">
        <f>(102*'Emissions Factors'!$F$10*'Calcs - Power'!$B94+'Emissions Factors'!$F$11*('Calcs - Power'!$C94+'Calcs - Power'!$D94+'Calcs - Power'!$E94+'Calcs - Power'!$F94))</f>
        <v>226759798.72057596</v>
      </c>
      <c r="BE95" s="359">
        <f>(102*'Emissions Factors'!$G$10*'Calcs - Power'!$G94+'Emissions Factors'!$G$11*('Calcs - Power'!H94+'Calcs - Power'!I94+'Calcs - Power'!J94+'Calcs - Power'!K94))</f>
        <v>4271272.5346197179</v>
      </c>
      <c r="BF95" s="366">
        <f>(102*'Emissions Factors'!$G$10*'Calcs - Power'!$B94+'Emissions Factors'!$G$11*('Calcs - Power'!C94+'Calcs - Power'!D94+'Calcs - Power'!E94+'Calcs - Power'!F94))</f>
        <v>202218601.67744693</v>
      </c>
    </row>
    <row r="96" spans="1:58" x14ac:dyDescent="0.3">
      <c r="A96" s="351">
        <f t="shared" si="20"/>
        <v>84</v>
      </c>
      <c r="B96" s="352">
        <f t="shared" si="14"/>
        <v>0.99999999999999989</v>
      </c>
      <c r="C96" s="363">
        <f t="shared" si="15"/>
        <v>1</v>
      </c>
      <c r="D96" s="352">
        <f t="shared" si="16"/>
        <v>1</v>
      </c>
      <c r="E96" s="364">
        <f t="shared" si="17"/>
        <v>1</v>
      </c>
      <c r="F96" s="364">
        <f t="shared" si="18"/>
        <v>1</v>
      </c>
      <c r="G96" s="365">
        <f t="shared" si="19"/>
        <v>1</v>
      </c>
      <c r="P96" s="358">
        <f t="shared" si="21"/>
        <v>84</v>
      </c>
      <c r="Q96" s="359">
        <f>(('Methane Leakage'!$C$6/'Methane Leakage'!$C$5)*102*'Emissions Factors'!$C$38*'Calcs - Power'!$G95+'Emissions Factors'!$C$37*('Calcs - Power'!$H95+'Calcs - Power'!$I95+'Calcs - Power'!$J95+'Calcs - Power'!$K95))</f>
        <v>23942.086389281532</v>
      </c>
      <c r="R96" s="366">
        <f>(('Methane Leakage'!$C$6/'Methane Leakage'!$C$5)*102*'Emissions Factors'!$C$38*'Calcs - Power'!$B95+'Emissions Factors'!$C$37*('Calcs - Power'!$C95+'Calcs - Power'!$D95+'Calcs - Power'!$E95+'Calcs - Power'!$F95))</f>
        <v>1230040.6936782082</v>
      </c>
      <c r="S96" s="359">
        <f>(('Methane Leakage'!$C$6/'Methane Leakage'!$C$5)*102*'Emissions Factors'!$D$38*'Calcs - Power'!$G95+'Emissions Factors'!$D$37*('Calcs - Power'!$H95+'Calcs - Power'!$I95+'Calcs - Power'!$J95+'Calcs - Power'!$K95))</f>
        <v>23942.086389281532</v>
      </c>
      <c r="T96" s="366">
        <f>(('Methane Leakage'!$C$6/'Methane Leakage'!$C$5)*102*'Emissions Factors'!$D$38*'Calcs - Power'!$B95+'Emissions Factors'!$D$37*('Calcs - Power'!$C95+'Calcs - Power'!$D95+'Calcs - Power'!$E95+'Calcs - Power'!$F95))</f>
        <v>1230040.6936782082</v>
      </c>
      <c r="U96" s="361">
        <f>(102*'Emissions Factors'!$C$36*'Calcs - Power'!$G95+'Emissions Factors'!$C$35*('Calcs - Power'!$H95+'Calcs - Power'!$I95+'Calcs - Power'!$J95+'Calcs - Power'!$K95))</f>
        <v>41830.222116763638</v>
      </c>
      <c r="V96" s="366">
        <f>(102*'Emissions Factors'!$C$36*'Calcs - Power'!$B95+'Emissions Factors'!$C$35*('Calcs - Power'!$C95+'Calcs - Power'!$D95+'Calcs - Power'!$E95+'Calcs - Power'!$F95))</f>
        <v>1998740.594189387</v>
      </c>
      <c r="W96" s="359">
        <f>(102*'Emissions Factors'!$D$36*'Calcs - Power'!$G95+'Emissions Factors'!$D$35*('Calcs - Power'!$H95+'Calcs - Power'!$I95+'Calcs - Power'!$J95+'Calcs - Power'!$K95))</f>
        <v>41830.222116763638</v>
      </c>
      <c r="X96" s="366">
        <f>(102*'Emissions Factors'!$D$36*'Calcs - Power'!$B95+'Emissions Factors'!$D$35*('Calcs - Power'!$C95+'Calcs - Power'!$D95+'Calcs - Power'!$E95+'Calcs - Power'!$F95))</f>
        <v>1998740.594189387</v>
      </c>
      <c r="Y96" s="359">
        <f>(102*'Emissions Factors'!$C$38*'Calcs - Power'!$G95+'Emissions Factors'!$C$37*('Calcs - Power'!$H95+'Calcs - Power'!$I95+'Calcs - Power'!$J95+'Calcs - Power'!$K95))</f>
        <v>23942.086389281532</v>
      </c>
      <c r="Z96" s="366">
        <f>(102*'Emissions Factors'!$C$38*'Calcs - Power'!$B95+'Emissions Factors'!$C$37*('Calcs - Power'!$C95+'Calcs - Power'!$D95+'Calcs - Power'!$E95+'Calcs - Power'!$F95))</f>
        <v>1230040.6936782082</v>
      </c>
      <c r="AA96" s="359">
        <f>(102*'Emissions Factors'!$C$36*'Calcs - Power'!$G95+'Emissions Factors'!$C$35*('Calcs - Power'!$H95+'Calcs - Power'!$I95+'Calcs - Power'!$J95+'Calcs - Power'!$K95))</f>
        <v>41830.222116763638</v>
      </c>
      <c r="AB96" s="366">
        <f>(102*'Emissions Factors'!$C$36*'Calcs - Power'!$B95+'Emissions Factors'!$C$35*('Calcs - Power'!$C95+'Calcs - Power'!$D95+'Calcs - Power'!$E95+'Calcs - Power'!$F95))</f>
        <v>1998740.594189387</v>
      </c>
      <c r="AI96" s="358">
        <f t="shared" si="22"/>
        <v>84</v>
      </c>
      <c r="AJ96" s="359">
        <f>(('Methane Leakage'!$G$6/'Methane Leakage'!$G$5)*102*'Emissions Factors'!$D$10*'Calcs - Power'!$G95+'Emissions Factors'!$D$11*('Calcs - Power'!$H95+'Calcs - Power'!$I95+'Calcs - Power'!$J95+'Calcs - Power'!$K95))</f>
        <v>3339.7510991237182</v>
      </c>
      <c r="AK96" s="366">
        <f>(('Methane Leakage'!$G$6/'Methane Leakage'!$G$5)*102*'Emissions Factors'!$D$10*'Calcs - Power'!$B95+'Emissions Factors'!$D$11*('Calcs - Power'!$C95+'Calcs - Power'!$D95+'Calcs - Power'!$E95+'Calcs - Power'!$F95))</f>
        <v>175716.78152392971</v>
      </c>
      <c r="AL96" s="359">
        <f>(102*'Emissions Factors'!$E$10*'Calcs - Power'!$G95+'Emissions Factors'!$E$11*('Calcs - Power'!H95+'Calcs - Power'!I95+'Calcs - Power'!J95+'Calcs - Power'!K95))</f>
        <v>3738.3690976258872</v>
      </c>
      <c r="AM96" s="366">
        <f>(102*'Emissions Factors'!$E$10*'Calcs - Power'!$B95+'Emissions Factors'!$E$11*('Calcs - Power'!C95+'Calcs - Power'!D95+'Calcs - Power'!E95+'Calcs - Power'!F95))</f>
        <v>179720.62686014856</v>
      </c>
      <c r="AN96" s="359">
        <f>(102*'Emissions Factors'!$D$10*'Calcs - Power'!$G95+'Emissions Factors'!$D$11*('Calcs - Power'!$H95+'Calcs - Power'!$I95+'Calcs - Power'!$J95+'Calcs - Power'!$K95))</f>
        <v>3339.7510991237182</v>
      </c>
      <c r="AO96" s="366">
        <f>(102*'Emissions Factors'!$D$10*'Calcs - Power'!$B95+'Emissions Factors'!$D$11*('Calcs - Power'!$C95+'Calcs - Power'!$D95+'Calcs - Power'!$E95+'Calcs - Power'!$F95))</f>
        <v>175716.78152392971</v>
      </c>
      <c r="AP96" s="367">
        <f>(102*'Emissions Factors'!$E$10*'Calcs - Power'!$G95+'Emissions Factors'!$E$11*('Calcs - Power'!H95+'Calcs - Power'!I95+'Calcs - Power'!J95+'Calcs - Power'!K95))</f>
        <v>3738.3690976258872</v>
      </c>
      <c r="AQ96" s="366">
        <f>(102*'Emissions Factors'!$E$10*'Calcs - Power'!$B95+'Emissions Factors'!$E$11*('Calcs - Power'!C95+'Calcs - Power'!D95+'Calcs - Power'!E95+'Calcs - Power'!F95))</f>
        <v>179720.62686014856</v>
      </c>
      <c r="AS96" s="357"/>
      <c r="AT96" s="357"/>
      <c r="AU96" s="357"/>
      <c r="AV96" s="357"/>
      <c r="AX96" s="358">
        <f t="shared" si="23"/>
        <v>84</v>
      </c>
      <c r="AY96" s="359">
        <f>(('Methane Leakage'!$G$6/'Methane Leakage'!$G$5)*102*'Emissions Factors'!$F$10*'Calcs - Power'!$G95+'Emissions Factors'!$F$11*('Calcs - Power'!$H95+'Calcs - Power'!$I95+'Calcs - Power'!$J95+'Calcs - Power'!$K95))</f>
        <v>4508184.9955148883</v>
      </c>
      <c r="AZ96" s="366">
        <f>(('Methane Leakage'!$G$6/'Methane Leakage'!$G$5)*102*'Emissions Factors'!$F$10*'Calcs - Power'!$B95+'Emissions Factors'!$F$11*('Calcs - Power'!$C95+'Calcs - Power'!$D95+'Calcs - Power'!$E95+'Calcs - Power'!$F95))</f>
        <v>231250840.31889474</v>
      </c>
      <c r="BA96" s="359">
        <f>(102*'Emissions Factors'!$G$10*'Calcs - Power'!$G95+'Emissions Factors'!$G$11*('Calcs - Power'!H95+'Calcs - Power'!I95+'Calcs - Power'!J95+'Calcs - Power'!K95))</f>
        <v>4309333.1215896616</v>
      </c>
      <c r="BB96" s="366">
        <f>(102*'Emissions Factors'!$G$10*'Calcs - Power'!$B95+'Emissions Factors'!$G$11*('Calcs - Power'!C95+'Calcs - Power'!D95+'Calcs - Power'!E95+'Calcs - Power'!F95))</f>
        <v>206508913.94656122</v>
      </c>
      <c r="BC96" s="359">
        <f>(102*'Emissions Factors'!$F$10*'Calcs - Power'!$G95+'Emissions Factors'!$F$11*('Calcs - Power'!$H95+'Calcs - Power'!$I95+'Calcs - Power'!$J95+'Calcs - Power'!$K95))</f>
        <v>4508184.9955148883</v>
      </c>
      <c r="BD96" s="366">
        <f>(102*'Emissions Factors'!$F$10*'Calcs - Power'!$B95+'Emissions Factors'!$F$11*('Calcs - Power'!$C95+'Calcs - Power'!$D95+'Calcs - Power'!$E95+'Calcs - Power'!$F95))</f>
        <v>231250840.31889474</v>
      </c>
      <c r="BE96" s="359">
        <f>(102*'Emissions Factors'!$G$10*'Calcs - Power'!$G95+'Emissions Factors'!$G$11*('Calcs - Power'!H95+'Calcs - Power'!I95+'Calcs - Power'!J95+'Calcs - Power'!K95))</f>
        <v>4309333.1215896616</v>
      </c>
      <c r="BF96" s="366">
        <f>(102*'Emissions Factors'!$G$10*'Calcs - Power'!$B95+'Emissions Factors'!$G$11*('Calcs - Power'!C95+'Calcs - Power'!D95+'Calcs - Power'!E95+'Calcs - Power'!F95))</f>
        <v>206508913.94656122</v>
      </c>
    </row>
    <row r="97" spans="1:58" x14ac:dyDescent="0.3">
      <c r="A97" s="351">
        <f t="shared" si="20"/>
        <v>85</v>
      </c>
      <c r="B97" s="352">
        <f t="shared" si="14"/>
        <v>0.99999999999999989</v>
      </c>
      <c r="C97" s="363">
        <f t="shared" si="15"/>
        <v>0.99999999999999978</v>
      </c>
      <c r="D97" s="352">
        <f t="shared" si="16"/>
        <v>1</v>
      </c>
      <c r="E97" s="364">
        <f t="shared" si="17"/>
        <v>1</v>
      </c>
      <c r="F97" s="364">
        <f t="shared" si="18"/>
        <v>1</v>
      </c>
      <c r="G97" s="365">
        <f t="shared" si="19"/>
        <v>1</v>
      </c>
      <c r="P97" s="358">
        <f t="shared" si="21"/>
        <v>85</v>
      </c>
      <c r="Q97" s="359">
        <f>(('Methane Leakage'!$C$6/'Methane Leakage'!$C$5)*102*'Emissions Factors'!$C$38*'Calcs - Power'!$G96+'Emissions Factors'!$C$37*('Calcs - Power'!$H96+'Calcs - Power'!$I96+'Calcs - Power'!$J96+'Calcs - Power'!$K96))</f>
        <v>24123.02045937681</v>
      </c>
      <c r="R97" s="366">
        <f>(('Methane Leakage'!$C$6/'Methane Leakage'!$C$5)*102*'Emissions Factors'!$C$38*'Calcs - Power'!$B96+'Emissions Factors'!$C$37*('Calcs - Power'!$C96+'Calcs - Power'!$D96+'Calcs - Power'!$E96+'Calcs - Power'!$F96))</f>
        <v>1254073.293133623</v>
      </c>
      <c r="S97" s="359">
        <f>(('Methane Leakage'!$C$6/'Methane Leakage'!$C$5)*102*'Emissions Factors'!$D$38*'Calcs - Power'!$G96+'Emissions Factors'!$D$37*('Calcs - Power'!$H96+'Calcs - Power'!$I96+'Calcs - Power'!$J96+'Calcs - Power'!$K96))</f>
        <v>24123.02045937681</v>
      </c>
      <c r="T97" s="366">
        <f>(('Methane Leakage'!$C$6/'Methane Leakage'!$C$5)*102*'Emissions Factors'!$D$38*'Calcs - Power'!$B96+'Emissions Factors'!$D$37*('Calcs - Power'!$C96+'Calcs - Power'!$D96+'Calcs - Power'!$E96+'Calcs - Power'!$F96))</f>
        <v>1254073.293133623</v>
      </c>
      <c r="U97" s="361">
        <f>(102*'Emissions Factors'!$C$36*'Calcs - Power'!$G96+'Emissions Factors'!$C$35*('Calcs - Power'!$H96+'Calcs - Power'!$I96+'Calcs - Power'!$J96+'Calcs - Power'!$K96))</f>
        <v>42200.684067663635</v>
      </c>
      <c r="V97" s="366">
        <f>(102*'Emissions Factors'!$C$36*'Calcs - Power'!$B96+'Emissions Factors'!$C$35*('Calcs - Power'!$C96+'Calcs - Power'!$D96+'Calcs - Power'!$E96+'Calcs - Power'!$F96))</f>
        <v>2040756.1379854754</v>
      </c>
      <c r="W97" s="359">
        <f>(102*'Emissions Factors'!$D$36*'Calcs - Power'!$G96+'Emissions Factors'!$D$35*('Calcs - Power'!$H96+'Calcs - Power'!$I96+'Calcs - Power'!$J96+'Calcs - Power'!$K96))</f>
        <v>42200.684067663635</v>
      </c>
      <c r="X97" s="366">
        <f>(102*'Emissions Factors'!$D$36*'Calcs - Power'!$B96+'Emissions Factors'!$D$35*('Calcs - Power'!$C96+'Calcs - Power'!$D96+'Calcs - Power'!$E96+'Calcs - Power'!$F96))</f>
        <v>2040756.1379854754</v>
      </c>
      <c r="Y97" s="359">
        <f>(102*'Emissions Factors'!$C$38*'Calcs - Power'!$G96+'Emissions Factors'!$C$37*('Calcs - Power'!$H96+'Calcs - Power'!$I96+'Calcs - Power'!$J96+'Calcs - Power'!$K96))</f>
        <v>24123.02045937681</v>
      </c>
      <c r="Z97" s="366">
        <f>(102*'Emissions Factors'!$C$38*'Calcs - Power'!$B96+'Emissions Factors'!$C$37*('Calcs - Power'!$C96+'Calcs - Power'!$D96+'Calcs - Power'!$E96+'Calcs - Power'!$F96))</f>
        <v>1254073.293133623</v>
      </c>
      <c r="AA97" s="359">
        <f>(102*'Emissions Factors'!$C$36*'Calcs - Power'!$G96+'Emissions Factors'!$C$35*('Calcs - Power'!$H96+'Calcs - Power'!$I96+'Calcs - Power'!$J96+'Calcs - Power'!$K96))</f>
        <v>42200.684067663635</v>
      </c>
      <c r="AB97" s="366">
        <f>(102*'Emissions Factors'!$C$36*'Calcs - Power'!$B96+'Emissions Factors'!$C$35*('Calcs - Power'!$C96+'Calcs - Power'!$D96+'Calcs - Power'!$E96+'Calcs - Power'!$F96))</f>
        <v>2040756.1379854754</v>
      </c>
      <c r="AI97" s="358">
        <f t="shared" si="22"/>
        <v>85</v>
      </c>
      <c r="AJ97" s="359">
        <f>(('Methane Leakage'!$G$6/'Methane Leakage'!$G$5)*102*'Emissions Factors'!$D$10*'Calcs - Power'!$G96+'Emissions Factors'!$D$11*('Calcs - Power'!$H96+'Calcs - Power'!$I96+'Calcs - Power'!$J96+'Calcs - Power'!$K96))</f>
        <v>3363.4952209545545</v>
      </c>
      <c r="AK97" s="366">
        <f>(('Methane Leakage'!$G$6/'Methane Leakage'!$G$5)*102*'Emissions Factors'!$D$10*'Calcs - Power'!$B96+'Emissions Factors'!$D$11*('Calcs - Power'!$C96+'Calcs - Power'!$D96+'Calcs - Power'!$E96+'Calcs - Power'!$F96))</f>
        <v>179068.4108221698</v>
      </c>
      <c r="AL97" s="359">
        <f>(102*'Emissions Factors'!$E$10*'Calcs - Power'!$G96+'Emissions Factors'!$E$11*('Calcs - Power'!H96+'Calcs - Power'!I96+'Calcs - Power'!J96+'Calcs - Power'!K96))</f>
        <v>3771.082113193499</v>
      </c>
      <c r="AM97" s="366">
        <f>(102*'Emissions Factors'!$E$10*'Calcs - Power'!$B96+'Emissions Factors'!$E$11*('Calcs - Power'!C96+'Calcs - Power'!D96+'Calcs - Power'!E96+'Calcs - Power'!F96))</f>
        <v>183475.36049700543</v>
      </c>
      <c r="AN97" s="359">
        <f>(102*'Emissions Factors'!$D$10*'Calcs - Power'!$G96+'Emissions Factors'!$D$11*('Calcs - Power'!$H96+'Calcs - Power'!$I96+'Calcs - Power'!$J96+'Calcs - Power'!$K96))</f>
        <v>3363.4952209545545</v>
      </c>
      <c r="AO97" s="366">
        <f>(102*'Emissions Factors'!$D$10*'Calcs - Power'!$B96+'Emissions Factors'!$D$11*('Calcs - Power'!$C96+'Calcs - Power'!$D96+'Calcs - Power'!$E96+'Calcs - Power'!$F96))</f>
        <v>179068.4108221698</v>
      </c>
      <c r="AP97" s="367">
        <f>(102*'Emissions Factors'!$E$10*'Calcs - Power'!$G96+'Emissions Factors'!$E$11*('Calcs - Power'!H96+'Calcs - Power'!I96+'Calcs - Power'!J96+'Calcs - Power'!K96))</f>
        <v>3771.082113193499</v>
      </c>
      <c r="AQ97" s="366">
        <f>(102*'Emissions Factors'!$E$10*'Calcs - Power'!$B96+'Emissions Factors'!$E$11*('Calcs - Power'!C96+'Calcs - Power'!D96+'Calcs - Power'!E96+'Calcs - Power'!F96))</f>
        <v>183475.36049700543</v>
      </c>
      <c r="AS97" s="357"/>
      <c r="AT97" s="357"/>
      <c r="AU97" s="357"/>
      <c r="AV97" s="357"/>
      <c r="AX97" s="358">
        <f t="shared" si="23"/>
        <v>85</v>
      </c>
      <c r="AY97" s="359">
        <f>(('Methane Leakage'!$G$6/'Methane Leakage'!$G$5)*102*'Emissions Factors'!$F$10*'Calcs - Power'!$G96+'Emissions Factors'!$F$11*('Calcs - Power'!$H96+'Calcs - Power'!$I96+'Calcs - Power'!$J96+'Calcs - Power'!$K96))</f>
        <v>4542384.2681457093</v>
      </c>
      <c r="AZ97" s="366">
        <f>(('Methane Leakage'!$G$6/'Methane Leakage'!$G$5)*102*'Emissions Factors'!$F$10*'Calcs - Power'!$B96+'Emissions Factors'!$F$11*('Calcs - Power'!$C96+'Calcs - Power'!$D96+'Calcs - Power'!$E96+'Calcs - Power'!$F96))</f>
        <v>235776133.64280215</v>
      </c>
      <c r="BA97" s="359">
        <f>(102*'Emissions Factors'!$G$10*'Calcs - Power'!$G96+'Emissions Factors'!$G$11*('Calcs - Power'!H96+'Calcs - Power'!I96+'Calcs - Power'!J96+'Calcs - Power'!K96))</f>
        <v>4347281.2471982203</v>
      </c>
      <c r="BB97" s="366">
        <f>(102*'Emissions Factors'!$G$10*'Calcs - Power'!$B96+'Emissions Factors'!$G$11*('Calcs - Power'!C96+'Calcs - Power'!D96+'Calcs - Power'!E96+'Calcs - Power'!F96))</f>
        <v>210837230.43423319</v>
      </c>
      <c r="BC97" s="359">
        <f>(102*'Emissions Factors'!$F$10*'Calcs - Power'!$G96+'Emissions Factors'!$F$11*('Calcs - Power'!$H96+'Calcs - Power'!$I96+'Calcs - Power'!$J96+'Calcs - Power'!$K96))</f>
        <v>4542384.2681457093</v>
      </c>
      <c r="BD97" s="366">
        <f>(102*'Emissions Factors'!$F$10*'Calcs - Power'!$B96+'Emissions Factors'!$F$11*('Calcs - Power'!$C96+'Calcs - Power'!$D96+'Calcs - Power'!$E96+'Calcs - Power'!$F96))</f>
        <v>235776133.64280215</v>
      </c>
      <c r="BE97" s="359">
        <f>(102*'Emissions Factors'!$G$10*'Calcs - Power'!$G96+'Emissions Factors'!$G$11*('Calcs - Power'!H96+'Calcs - Power'!I96+'Calcs - Power'!J96+'Calcs - Power'!K96))</f>
        <v>4347281.2471982203</v>
      </c>
      <c r="BF97" s="366">
        <f>(102*'Emissions Factors'!$G$10*'Calcs - Power'!$B96+'Emissions Factors'!$G$11*('Calcs - Power'!C96+'Calcs - Power'!D96+'Calcs - Power'!E96+'Calcs - Power'!F96))</f>
        <v>210837230.43423319</v>
      </c>
    </row>
    <row r="98" spans="1:58" x14ac:dyDescent="0.3">
      <c r="A98" s="351">
        <f t="shared" si="20"/>
        <v>86</v>
      </c>
      <c r="B98" s="352">
        <f t="shared" si="14"/>
        <v>0.99999999999999989</v>
      </c>
      <c r="C98" s="363">
        <f t="shared" si="15"/>
        <v>1</v>
      </c>
      <c r="D98" s="352">
        <f t="shared" si="16"/>
        <v>1</v>
      </c>
      <c r="E98" s="364">
        <f t="shared" si="17"/>
        <v>1</v>
      </c>
      <c r="F98" s="364">
        <f t="shared" si="18"/>
        <v>1</v>
      </c>
      <c r="G98" s="365">
        <f t="shared" si="19"/>
        <v>1</v>
      </c>
      <c r="P98" s="358">
        <f t="shared" si="21"/>
        <v>86</v>
      </c>
      <c r="Q98" s="359">
        <f>(('Methane Leakage'!$C$6/'Methane Leakage'!$C$5)*102*'Emissions Factors'!$C$38*'Calcs - Power'!$G97+'Emissions Factors'!$C$37*('Calcs - Power'!$H97+'Calcs - Power'!$I97+'Calcs - Power'!$J97+'Calcs - Power'!$K97))</f>
        <v>24303.406800689634</v>
      </c>
      <c r="R98" s="366">
        <f>(('Methane Leakage'!$C$6/'Methane Leakage'!$C$5)*102*'Emissions Factors'!$C$38*'Calcs - Power'!$B97+'Emissions Factors'!$C$37*('Calcs - Power'!$C97+'Calcs - Power'!$D97+'Calcs - Power'!$E97+'Calcs - Power'!$F97))</f>
        <v>1278286.5520255235</v>
      </c>
      <c r="S98" s="359">
        <f>(('Methane Leakage'!$C$6/'Methane Leakage'!$C$5)*102*'Emissions Factors'!$D$38*'Calcs - Power'!$G97+'Emissions Factors'!$D$37*('Calcs - Power'!$H97+'Calcs - Power'!$I97+'Calcs - Power'!$J97+'Calcs - Power'!$K97))</f>
        <v>24303.406800689634</v>
      </c>
      <c r="T98" s="366">
        <f>(('Methane Leakage'!$C$6/'Methane Leakage'!$C$5)*102*'Emissions Factors'!$D$38*'Calcs - Power'!$B97+'Emissions Factors'!$D$37*('Calcs - Power'!$C97+'Calcs - Power'!$D97+'Calcs - Power'!$E97+'Calcs - Power'!$F97))</f>
        <v>1278286.5520255235</v>
      </c>
      <c r="U98" s="361">
        <f>(102*'Emissions Factors'!$C$36*'Calcs - Power'!$G97+'Emissions Factors'!$C$35*('Calcs - Power'!$H97+'Calcs - Power'!$I97+'Calcs - Power'!$J97+'Calcs - Power'!$K97))</f>
        <v>42570.065309982463</v>
      </c>
      <c r="V98" s="366">
        <f>(102*'Emissions Factors'!$C$36*'Calcs - Power'!$B97+'Emissions Factors'!$C$35*('Calcs - Power'!$C97+'Calcs - Power'!$D97+'Calcs - Power'!$E97+'Calcs - Power'!$F97))</f>
        <v>2083141.6020951404</v>
      </c>
      <c r="W98" s="359">
        <f>(102*'Emissions Factors'!$D$36*'Calcs - Power'!$G97+'Emissions Factors'!$D$35*('Calcs - Power'!$H97+'Calcs - Power'!$I97+'Calcs - Power'!$J97+'Calcs - Power'!$K97))</f>
        <v>42570.065309982463</v>
      </c>
      <c r="X98" s="366">
        <f>(102*'Emissions Factors'!$D$36*'Calcs - Power'!$B97+'Emissions Factors'!$D$35*('Calcs - Power'!$C97+'Calcs - Power'!$D97+'Calcs - Power'!$E97+'Calcs - Power'!$F97))</f>
        <v>2083141.6020951404</v>
      </c>
      <c r="Y98" s="359">
        <f>(102*'Emissions Factors'!$C$38*'Calcs - Power'!$G97+'Emissions Factors'!$C$37*('Calcs - Power'!$H97+'Calcs - Power'!$I97+'Calcs - Power'!$J97+'Calcs - Power'!$K97))</f>
        <v>24303.406800689634</v>
      </c>
      <c r="Z98" s="366">
        <f>(102*'Emissions Factors'!$C$38*'Calcs - Power'!$B97+'Emissions Factors'!$C$37*('Calcs - Power'!$C97+'Calcs - Power'!$D97+'Calcs - Power'!$E97+'Calcs - Power'!$F97))</f>
        <v>1278286.5520255235</v>
      </c>
      <c r="AA98" s="359">
        <f>(102*'Emissions Factors'!$C$36*'Calcs - Power'!$G97+'Emissions Factors'!$C$35*('Calcs - Power'!$H97+'Calcs - Power'!$I97+'Calcs - Power'!$J97+'Calcs - Power'!$K97))</f>
        <v>42570.065309982463</v>
      </c>
      <c r="AB98" s="366">
        <f>(102*'Emissions Factors'!$C$36*'Calcs - Power'!$B97+'Emissions Factors'!$C$35*('Calcs - Power'!$C97+'Calcs - Power'!$D97+'Calcs - Power'!$E97+'Calcs - Power'!$F97))</f>
        <v>2083141.6020951404</v>
      </c>
      <c r="AI98" s="358">
        <f t="shared" si="22"/>
        <v>86</v>
      </c>
      <c r="AJ98" s="359">
        <f>(('Methane Leakage'!$G$6/'Methane Leakage'!$G$5)*102*'Emissions Factors'!$D$10*'Calcs - Power'!$G97+'Emissions Factors'!$D$11*('Calcs - Power'!$H97+'Calcs - Power'!$I97+'Calcs - Power'!$J97+'Calcs - Power'!$K97))</f>
        <v>3387.1663425625047</v>
      </c>
      <c r="AK98" s="366">
        <f>(('Methane Leakage'!$G$6/'Methane Leakage'!$G$5)*102*'Emissions Factors'!$D$10*'Calcs - Power'!$B97+'Emissions Factors'!$D$11*('Calcs - Power'!$C97+'Calcs - Power'!$D97+'Calcs - Power'!$E97+'Calcs - Power'!$F97))</f>
        <v>182443.74763315357</v>
      </c>
      <c r="AL98" s="359">
        <f>(102*'Emissions Factors'!$E$10*'Calcs - Power'!$G97+'Emissions Factors'!$E$11*('Calcs - Power'!H97+'Calcs - Power'!I97+'Calcs - Power'!J97+'Calcs - Power'!K97))</f>
        <v>3803.6994456689968</v>
      </c>
      <c r="AM98" s="366">
        <f>(102*'Emissions Factors'!$E$10*'Calcs - Power'!$B97+'Emissions Factors'!$E$11*('Calcs - Power'!C97+'Calcs - Power'!D97+'Calcs - Power'!E97+'Calcs - Power'!F97))</f>
        <v>187262.75919277628</v>
      </c>
      <c r="AN98" s="359">
        <f>(102*'Emissions Factors'!$D$10*'Calcs - Power'!$G97+'Emissions Factors'!$D$11*('Calcs - Power'!$H97+'Calcs - Power'!$I97+'Calcs - Power'!$J97+'Calcs - Power'!$K97))</f>
        <v>3387.1663425625047</v>
      </c>
      <c r="AO98" s="366">
        <f>(102*'Emissions Factors'!$D$10*'Calcs - Power'!$B97+'Emissions Factors'!$D$11*('Calcs - Power'!$C97+'Calcs - Power'!$D97+'Calcs - Power'!$E97+'Calcs - Power'!$F97))</f>
        <v>182443.74763315357</v>
      </c>
      <c r="AP98" s="367">
        <f>(102*'Emissions Factors'!$E$10*'Calcs - Power'!$G97+'Emissions Factors'!$E$11*('Calcs - Power'!H97+'Calcs - Power'!I97+'Calcs - Power'!J97+'Calcs - Power'!K97))</f>
        <v>3803.6994456689968</v>
      </c>
      <c r="AQ98" s="366">
        <f>(102*'Emissions Factors'!$E$10*'Calcs - Power'!$B97+'Emissions Factors'!$E$11*('Calcs - Power'!C97+'Calcs - Power'!D97+'Calcs - Power'!E97+'Calcs - Power'!F97))</f>
        <v>187262.75919277628</v>
      </c>
      <c r="AS98" s="357"/>
      <c r="AT98" s="357"/>
      <c r="AU98" s="357"/>
      <c r="AV98" s="357"/>
      <c r="AX98" s="358">
        <f t="shared" si="23"/>
        <v>86</v>
      </c>
      <c r="AY98" s="359">
        <f>(('Methane Leakage'!$G$6/'Methane Leakage'!$G$5)*102*'Emissions Factors'!$F$10*'Calcs - Power'!$G97+'Emissions Factors'!$F$11*('Calcs - Power'!$H97+'Calcs - Power'!$I97+'Calcs - Power'!$J97+'Calcs - Power'!$K97))</f>
        <v>4576480.1094397781</v>
      </c>
      <c r="AZ98" s="366">
        <f>(('Methane Leakage'!$G$6/'Methane Leakage'!$G$5)*102*'Emissions Factors'!$F$10*'Calcs - Power'!$B97+'Emissions Factors'!$F$11*('Calcs - Power'!$C97+'Calcs - Power'!$D97+'Calcs - Power'!$E97+'Calcs - Power'!$F97))</f>
        <v>240335574.37897766</v>
      </c>
      <c r="BA98" s="359">
        <f>(102*'Emissions Factors'!$G$10*'Calcs - Power'!$G97+'Emissions Factors'!$G$11*('Calcs - Power'!H97+'Calcs - Power'!I97+'Calcs - Power'!J97+'Calcs - Power'!K97))</f>
        <v>4385118.5321274688</v>
      </c>
      <c r="BB98" s="366">
        <f>(102*'Emissions Factors'!$G$10*'Calcs - Power'!$B97+'Emissions Factors'!$G$11*('Calcs - Power'!C97+'Calcs - Power'!D97+'Calcs - Power'!E97+'Calcs - Power'!F97))</f>
        <v>215203439.49475372</v>
      </c>
      <c r="BC98" s="359">
        <f>(102*'Emissions Factors'!$F$10*'Calcs - Power'!$G97+'Emissions Factors'!$F$11*('Calcs - Power'!$H97+'Calcs - Power'!$I97+'Calcs - Power'!$J97+'Calcs - Power'!$K97))</f>
        <v>4576480.1094397781</v>
      </c>
      <c r="BD98" s="366">
        <f>(102*'Emissions Factors'!$F$10*'Calcs - Power'!$B97+'Emissions Factors'!$F$11*('Calcs - Power'!$C97+'Calcs - Power'!$D97+'Calcs - Power'!$E97+'Calcs - Power'!$F97))</f>
        <v>240335574.37897766</v>
      </c>
      <c r="BE98" s="359">
        <f>(102*'Emissions Factors'!$G$10*'Calcs - Power'!$G97+'Emissions Factors'!$G$11*('Calcs - Power'!H97+'Calcs - Power'!I97+'Calcs - Power'!J97+'Calcs - Power'!K97))</f>
        <v>4385118.5321274688</v>
      </c>
      <c r="BF98" s="366">
        <f>(102*'Emissions Factors'!$G$10*'Calcs - Power'!$B97+'Emissions Factors'!$G$11*('Calcs - Power'!C97+'Calcs - Power'!D97+'Calcs - Power'!E97+'Calcs - Power'!F97))</f>
        <v>215203439.49475372</v>
      </c>
    </row>
    <row r="99" spans="1:58" x14ac:dyDescent="0.3">
      <c r="A99" s="351">
        <f t="shared" si="20"/>
        <v>87</v>
      </c>
      <c r="B99" s="352">
        <f t="shared" si="14"/>
        <v>0.99999999999999989</v>
      </c>
      <c r="C99" s="363">
        <f t="shared" si="15"/>
        <v>1</v>
      </c>
      <c r="D99" s="352">
        <f t="shared" si="16"/>
        <v>1</v>
      </c>
      <c r="E99" s="364">
        <f t="shared" si="17"/>
        <v>1</v>
      </c>
      <c r="F99" s="364">
        <f t="shared" si="18"/>
        <v>1</v>
      </c>
      <c r="G99" s="365">
        <f t="shared" si="19"/>
        <v>1</v>
      </c>
      <c r="P99" s="358">
        <f t="shared" si="21"/>
        <v>87</v>
      </c>
      <c r="Q99" s="359">
        <f>(('Methane Leakage'!$C$6/'Methane Leakage'!$C$5)*102*'Emissions Factors'!$C$38*'Calcs - Power'!$G98+'Emissions Factors'!$C$37*('Calcs - Power'!$H98+'Calcs - Power'!$I98+'Calcs - Power'!$J98+'Calcs - Power'!$K98))</f>
        <v>24483.254431764846</v>
      </c>
      <c r="R99" s="366">
        <f>(('Methane Leakage'!$C$6/'Methane Leakage'!$C$5)*102*'Emissions Factors'!$C$38*'Calcs - Power'!$B98+'Emissions Factors'!$C$37*('Calcs - Power'!$C98+'Calcs - Power'!$D98+'Calcs - Power'!$E98+'Calcs - Power'!$F98))</f>
        <v>1302679.9271694501</v>
      </c>
      <c r="S99" s="359">
        <f>(('Methane Leakage'!$C$6/'Methane Leakage'!$C$5)*102*'Emissions Factors'!$D$38*'Calcs - Power'!$G98+'Emissions Factors'!$D$37*('Calcs - Power'!$H98+'Calcs - Power'!$I98+'Calcs - Power'!$J98+'Calcs - Power'!$K98))</f>
        <v>24483.254431764846</v>
      </c>
      <c r="T99" s="366">
        <f>(('Methane Leakage'!$C$6/'Methane Leakage'!$C$5)*102*'Emissions Factors'!$D$38*'Calcs - Power'!$B98+'Emissions Factors'!$D$37*('Calcs - Power'!$C98+'Calcs - Power'!$D98+'Calcs - Power'!$E98+'Calcs - Power'!$F98))</f>
        <v>1302679.9271694501</v>
      </c>
      <c r="U99" s="361">
        <f>(102*'Emissions Factors'!$C$36*'Calcs - Power'!$G98+'Emissions Factors'!$C$35*('Calcs - Power'!$H98+'Calcs - Power'!$I98+'Calcs - Power'!$J98+'Calcs - Power'!$K98))</f>
        <v>42938.380947973703</v>
      </c>
      <c r="V99" s="366">
        <f>(102*'Emissions Factors'!$C$36*'Calcs - Power'!$B98+'Emissions Factors'!$C$35*('Calcs - Power'!$C98+'Calcs - Power'!$D98+'Calcs - Power'!$E98+'Calcs - Power'!$F98))</f>
        <v>2125895.9134102729</v>
      </c>
      <c r="W99" s="359">
        <f>(102*'Emissions Factors'!$D$36*'Calcs - Power'!$G98+'Emissions Factors'!$D$35*('Calcs - Power'!$H98+'Calcs - Power'!$I98+'Calcs - Power'!$J98+'Calcs - Power'!$K98))</f>
        <v>42938.380947973703</v>
      </c>
      <c r="X99" s="366">
        <f>(102*'Emissions Factors'!$D$36*'Calcs - Power'!$B98+'Emissions Factors'!$D$35*('Calcs - Power'!$C98+'Calcs - Power'!$D98+'Calcs - Power'!$E98+'Calcs - Power'!$F98))</f>
        <v>2125895.9134102729</v>
      </c>
      <c r="Y99" s="359">
        <f>(102*'Emissions Factors'!$C$38*'Calcs - Power'!$G98+'Emissions Factors'!$C$37*('Calcs - Power'!$H98+'Calcs - Power'!$I98+'Calcs - Power'!$J98+'Calcs - Power'!$K98))</f>
        <v>24483.254431764846</v>
      </c>
      <c r="Z99" s="366">
        <f>(102*'Emissions Factors'!$C$38*'Calcs - Power'!$B98+'Emissions Factors'!$C$37*('Calcs - Power'!$C98+'Calcs - Power'!$D98+'Calcs - Power'!$E98+'Calcs - Power'!$F98))</f>
        <v>1302679.9271694501</v>
      </c>
      <c r="AA99" s="359">
        <f>(102*'Emissions Factors'!$C$36*'Calcs - Power'!$G98+'Emissions Factors'!$C$35*('Calcs - Power'!$H98+'Calcs - Power'!$I98+'Calcs - Power'!$J98+'Calcs - Power'!$K98))</f>
        <v>42938.380947973703</v>
      </c>
      <c r="AB99" s="366">
        <f>(102*'Emissions Factors'!$C$36*'Calcs - Power'!$B98+'Emissions Factors'!$C$35*('Calcs - Power'!$C98+'Calcs - Power'!$D98+'Calcs - Power'!$E98+'Calcs - Power'!$F98))</f>
        <v>2125895.9134102729</v>
      </c>
      <c r="AI99" s="358">
        <f t="shared" si="22"/>
        <v>87</v>
      </c>
      <c r="AJ99" s="359">
        <f>(('Methane Leakage'!$G$6/'Methane Leakage'!$G$5)*102*'Emissions Factors'!$D$10*'Calcs - Power'!$G98+'Emissions Factors'!$D$11*('Calcs - Power'!$H98+'Calcs - Power'!$I98+'Calcs - Power'!$J98+'Calcs - Power'!$K98))</f>
        <v>3410.7657399173022</v>
      </c>
      <c r="AK99" s="366">
        <f>(('Methane Leakage'!$G$6/'Methane Leakage'!$G$5)*102*'Emissions Factors'!$D$10*'Calcs - Power'!$B98+'Emissions Factors'!$D$11*('Calcs - Power'!$C98+'Calcs - Power'!$D98+'Calcs - Power'!$E98+'Calcs - Power'!$F98))</f>
        <v>185842.71959988686</v>
      </c>
      <c r="AL99" s="359">
        <f>(102*'Emissions Factors'!$E$10*'Calcs - Power'!$G98+'Emissions Factors'!$E$11*('Calcs - Power'!H98+'Calcs - Power'!I98+'Calcs - Power'!J98+'Calcs - Power'!K98))</f>
        <v>3836.2224496646654</v>
      </c>
      <c r="AM99" s="366">
        <f>(102*'Emissions Factors'!$E$10*'Calcs - Power'!$B98+'Emissions Factors'!$E$11*('Calcs - Power'!C98+'Calcs - Power'!D98+'Calcs - Power'!E98+'Calcs - Power'!F98))</f>
        <v>191082.72794608949</v>
      </c>
      <c r="AN99" s="359">
        <f>(102*'Emissions Factors'!$D$10*'Calcs - Power'!$G98+'Emissions Factors'!$D$11*('Calcs - Power'!$H98+'Calcs - Power'!$I98+'Calcs - Power'!$J98+'Calcs - Power'!$K98))</f>
        <v>3410.7657399173022</v>
      </c>
      <c r="AO99" s="366">
        <f>(102*'Emissions Factors'!$D$10*'Calcs - Power'!$B98+'Emissions Factors'!$D$11*('Calcs - Power'!$C98+'Calcs - Power'!$D98+'Calcs - Power'!$E98+'Calcs - Power'!$F98))</f>
        <v>185842.71959988686</v>
      </c>
      <c r="AP99" s="367">
        <f>(102*'Emissions Factors'!$E$10*'Calcs - Power'!$G98+'Emissions Factors'!$E$11*('Calcs - Power'!H98+'Calcs - Power'!I98+'Calcs - Power'!J98+'Calcs - Power'!K98))</f>
        <v>3836.2224496646654</v>
      </c>
      <c r="AQ99" s="366">
        <f>(102*'Emissions Factors'!$E$10*'Calcs - Power'!$B98+'Emissions Factors'!$E$11*('Calcs - Power'!C98+'Calcs - Power'!D98+'Calcs - Power'!E98+'Calcs - Power'!F98))</f>
        <v>191082.72794608949</v>
      </c>
      <c r="AS99" s="357"/>
      <c r="AT99" s="357"/>
      <c r="AU99" s="357"/>
      <c r="AV99" s="357"/>
      <c r="AX99" s="358">
        <f t="shared" si="23"/>
        <v>87</v>
      </c>
      <c r="AY99" s="359">
        <f>(('Methane Leakage'!$G$6/'Methane Leakage'!$G$5)*102*'Emissions Factors'!$F$10*'Calcs - Power'!$G98+'Emissions Factors'!$F$11*('Calcs - Power'!$H98+'Calcs - Power'!$I98+'Calcs - Power'!$J98+'Calcs - Power'!$K98))</f>
        <v>4610474.2159843948</v>
      </c>
      <c r="AZ99" s="366">
        <f>(('Methane Leakage'!$G$6/'Methane Leakage'!$G$5)*102*'Emissions Factors'!$F$10*'Calcs - Power'!$B98+'Emissions Factors'!$F$11*('Calcs - Power'!$C98+'Calcs - Power'!$D98+'Calcs - Power'!$E98+'Calcs - Power'!$F98))</f>
        <v>244929059.95094705</v>
      </c>
      <c r="BA99" s="359">
        <f>(102*'Emissions Factors'!$G$10*'Calcs - Power'!$G98+'Emissions Factors'!$G$11*('Calcs - Power'!H98+'Calcs - Power'!I98+'Calcs - Power'!J98+'Calcs - Power'!K98))</f>
        <v>4422846.535013495</v>
      </c>
      <c r="BB99" s="366">
        <f>(102*'Emissions Factors'!$G$10*'Calcs - Power'!$B98+'Emissions Factors'!$G$11*('Calcs - Power'!C98+'Calcs - Power'!D98+'Calcs - Power'!E98+'Calcs - Power'!F98))</f>
        <v>219607431.07179338</v>
      </c>
      <c r="BC99" s="359">
        <f>(102*'Emissions Factors'!$F$10*'Calcs - Power'!$G98+'Emissions Factors'!$F$11*('Calcs - Power'!$H98+'Calcs - Power'!$I98+'Calcs - Power'!$J98+'Calcs - Power'!$K98))</f>
        <v>4610474.2159843948</v>
      </c>
      <c r="BD99" s="366">
        <f>(102*'Emissions Factors'!$F$10*'Calcs - Power'!$B98+'Emissions Factors'!$F$11*('Calcs - Power'!$C98+'Calcs - Power'!$D98+'Calcs - Power'!$E98+'Calcs - Power'!$F98))</f>
        <v>244929059.95094705</v>
      </c>
      <c r="BE99" s="359">
        <f>(102*'Emissions Factors'!$G$10*'Calcs - Power'!$G98+'Emissions Factors'!$G$11*('Calcs - Power'!H98+'Calcs - Power'!I98+'Calcs - Power'!J98+'Calcs - Power'!K98))</f>
        <v>4422846.535013495</v>
      </c>
      <c r="BF99" s="366">
        <f>(102*'Emissions Factors'!$G$10*'Calcs - Power'!$B98+'Emissions Factors'!$G$11*('Calcs - Power'!C98+'Calcs - Power'!D98+'Calcs - Power'!E98+'Calcs - Power'!F98))</f>
        <v>219607431.07179338</v>
      </c>
    </row>
    <row r="100" spans="1:58" x14ac:dyDescent="0.3">
      <c r="A100" s="351">
        <f t="shared" si="20"/>
        <v>88</v>
      </c>
      <c r="B100" s="352">
        <f t="shared" si="14"/>
        <v>0.99999999999999989</v>
      </c>
      <c r="C100" s="363">
        <f t="shared" si="15"/>
        <v>1</v>
      </c>
      <c r="D100" s="352">
        <f t="shared" si="16"/>
        <v>1</v>
      </c>
      <c r="E100" s="364">
        <f t="shared" si="17"/>
        <v>1</v>
      </c>
      <c r="F100" s="364">
        <f t="shared" si="18"/>
        <v>1</v>
      </c>
      <c r="G100" s="365">
        <f t="shared" si="19"/>
        <v>1</v>
      </c>
      <c r="P100" s="358">
        <f t="shared" si="21"/>
        <v>88</v>
      </c>
      <c r="Q100" s="359">
        <f>(('Methane Leakage'!$C$6/'Methane Leakage'!$C$5)*102*'Emissions Factors'!$C$38*'Calcs - Power'!$G99+'Emissions Factors'!$C$37*('Calcs - Power'!$H99+'Calcs - Power'!$I99+'Calcs - Power'!$J99+'Calcs - Power'!$K99))</f>
        <v>24662.571963508119</v>
      </c>
      <c r="R100" s="366">
        <f>(('Methane Leakage'!$C$6/'Methane Leakage'!$C$5)*102*'Emissions Factors'!$C$38*'Calcs - Power'!$B99+'Emissions Factors'!$C$37*('Calcs - Power'!$C99+'Calcs - Power'!$D99+'Calcs - Power'!$E99+'Calcs - Power'!$F99))</f>
        <v>1327252.8841935268</v>
      </c>
      <c r="S100" s="359">
        <f>(('Methane Leakage'!$C$6/'Methane Leakage'!$C$5)*102*'Emissions Factors'!$D$38*'Calcs - Power'!$G99+'Emissions Factors'!$D$37*('Calcs - Power'!$H99+'Calcs - Power'!$I99+'Calcs - Power'!$J99+'Calcs - Power'!$K99))</f>
        <v>24662.571963508119</v>
      </c>
      <c r="T100" s="366">
        <f>(('Methane Leakage'!$C$6/'Methane Leakage'!$C$5)*102*'Emissions Factors'!$D$38*'Calcs - Power'!$B99+'Emissions Factors'!$D$37*('Calcs - Power'!$C99+'Calcs - Power'!$D99+'Calcs - Power'!$E99+'Calcs - Power'!$F99))</f>
        <v>1327252.8841935268</v>
      </c>
      <c r="U100" s="361">
        <f>(102*'Emissions Factors'!$C$36*'Calcs - Power'!$G99+'Emissions Factors'!$C$35*('Calcs - Power'!$H99+'Calcs - Power'!$I99+'Calcs - Power'!$J99+'Calcs - Power'!$K99))</f>
        <v>43305.645520914855</v>
      </c>
      <c r="V100" s="366">
        <f>(102*'Emissions Factors'!$C$36*'Calcs - Power'!$B99+'Emissions Factors'!$C$35*('Calcs - Power'!$C99+'Calcs - Power'!$D99+'Calcs - Power'!$E99+'Calcs - Power'!$F99))</f>
        <v>2169018.013642021</v>
      </c>
      <c r="W100" s="359">
        <f>(102*'Emissions Factors'!$D$36*'Calcs - Power'!$G99+'Emissions Factors'!$D$35*('Calcs - Power'!$H99+'Calcs - Power'!$I99+'Calcs - Power'!$J99+'Calcs - Power'!$K99))</f>
        <v>43305.645520914855</v>
      </c>
      <c r="X100" s="366">
        <f>(102*'Emissions Factors'!$D$36*'Calcs - Power'!$B99+'Emissions Factors'!$D$35*('Calcs - Power'!$C99+'Calcs - Power'!$D99+'Calcs - Power'!$E99+'Calcs - Power'!$F99))</f>
        <v>2169018.013642021</v>
      </c>
      <c r="Y100" s="359">
        <f>(102*'Emissions Factors'!$C$38*'Calcs - Power'!$G99+'Emissions Factors'!$C$37*('Calcs - Power'!$H99+'Calcs - Power'!$I99+'Calcs - Power'!$J99+'Calcs - Power'!$K99))</f>
        <v>24662.571963508119</v>
      </c>
      <c r="Z100" s="366">
        <f>(102*'Emissions Factors'!$C$38*'Calcs - Power'!$B99+'Emissions Factors'!$C$37*('Calcs - Power'!$C99+'Calcs - Power'!$D99+'Calcs - Power'!$E99+'Calcs - Power'!$F99))</f>
        <v>1327252.8841935268</v>
      </c>
      <c r="AA100" s="359">
        <f>(102*'Emissions Factors'!$C$36*'Calcs - Power'!$G99+'Emissions Factors'!$C$35*('Calcs - Power'!$H99+'Calcs - Power'!$I99+'Calcs - Power'!$J99+'Calcs - Power'!$K99))</f>
        <v>43305.645520914855</v>
      </c>
      <c r="AB100" s="366">
        <f>(102*'Emissions Factors'!$C$36*'Calcs - Power'!$B99+'Emissions Factors'!$C$35*('Calcs - Power'!$C99+'Calcs - Power'!$D99+'Calcs - Power'!$E99+'Calcs - Power'!$F99))</f>
        <v>2169018.013642021</v>
      </c>
      <c r="AI100" s="358">
        <f t="shared" si="22"/>
        <v>88</v>
      </c>
      <c r="AJ100" s="359">
        <f>(('Methane Leakage'!$G$6/'Methane Leakage'!$G$5)*102*'Emissions Factors'!$D$10*'Calcs - Power'!$G99+'Emissions Factors'!$D$11*('Calcs - Power'!$H99+'Calcs - Power'!$I99+'Calcs - Power'!$J99+'Calcs - Power'!$K99))</f>
        <v>3434.2946280760125</v>
      </c>
      <c r="AK100" s="366">
        <f>(('Methane Leakage'!$G$6/'Methane Leakage'!$G$5)*102*'Emissions Factors'!$D$10*'Calcs - Power'!$B99+'Emissions Factors'!$D$11*('Calcs - Power'!$C99+'Calcs - Power'!$D99+'Calcs - Power'!$E99+'Calcs - Power'!$F99))</f>
        <v>189265.25561055643</v>
      </c>
      <c r="AL100" s="359">
        <f>(102*'Emissions Factors'!$E$10*'Calcs - Power'!$G99+'Emissions Factors'!$E$11*('Calcs - Power'!H99+'Calcs - Power'!I99+'Calcs - Power'!J99+'Calcs - Power'!K99))</f>
        <v>3868.6524282302248</v>
      </c>
      <c r="AM100" s="366">
        <f>(102*'Emissions Factors'!$E$10*'Calcs - Power'!$B99+'Emissions Factors'!$E$11*('Calcs - Power'!C99+'Calcs - Power'!D99+'Calcs - Power'!E99+'Calcs - Power'!F99))</f>
        <v>194935.1730841714</v>
      </c>
      <c r="AN100" s="359">
        <f>(102*'Emissions Factors'!$D$10*'Calcs - Power'!$G99+'Emissions Factors'!$D$11*('Calcs - Power'!$H99+'Calcs - Power'!$I99+'Calcs - Power'!$J99+'Calcs - Power'!$K99))</f>
        <v>3434.2946280760125</v>
      </c>
      <c r="AO100" s="366">
        <f>(102*'Emissions Factors'!$D$10*'Calcs - Power'!$B99+'Emissions Factors'!$D$11*('Calcs - Power'!$C99+'Calcs - Power'!$D99+'Calcs - Power'!$E99+'Calcs - Power'!$F99))</f>
        <v>189265.25561055643</v>
      </c>
      <c r="AP100" s="367">
        <f>(102*'Emissions Factors'!$E$10*'Calcs - Power'!$G99+'Emissions Factors'!$E$11*('Calcs - Power'!H99+'Calcs - Power'!I99+'Calcs - Power'!J99+'Calcs - Power'!K99))</f>
        <v>3868.6524282302248</v>
      </c>
      <c r="AQ100" s="366">
        <f>(102*'Emissions Factors'!$E$10*'Calcs - Power'!$B99+'Emissions Factors'!$E$11*('Calcs - Power'!C99+'Calcs - Power'!D99+'Calcs - Power'!E99+'Calcs - Power'!F99))</f>
        <v>194935.1730841714</v>
      </c>
      <c r="AS100" s="357"/>
      <c r="AT100" s="357"/>
      <c r="AU100" s="357"/>
      <c r="AV100" s="357"/>
      <c r="AX100" s="358">
        <f t="shared" si="23"/>
        <v>88</v>
      </c>
      <c r="AY100" s="359">
        <f>(('Methane Leakage'!$G$6/'Methane Leakage'!$G$5)*102*'Emissions Factors'!$F$10*'Calcs - Power'!$G99+'Emissions Factors'!$F$11*('Calcs - Power'!$H99+'Calcs - Power'!$I99+'Calcs - Power'!$J99+'Calcs - Power'!$K99))</f>
        <v>4644368.207963055</v>
      </c>
      <c r="AZ100" s="366">
        <f>(('Methane Leakage'!$G$6/'Methane Leakage'!$G$5)*102*'Emissions Factors'!$F$10*'Calcs - Power'!$B99+'Emissions Factors'!$F$11*('Calcs - Power'!$C99+'Calcs - Power'!$D99+'Calcs - Power'!$E99+'Calcs - Power'!$F99))</f>
        <v>249556489.44022137</v>
      </c>
      <c r="BA100" s="359">
        <f>(102*'Emissions Factors'!$G$10*'Calcs - Power'!$G99+'Emissions Factors'!$G$11*('Calcs - Power'!H99+'Calcs - Power'!I99+'Calcs - Power'!J99+'Calcs - Power'!K99))</f>
        <v>4460466.755701649</v>
      </c>
      <c r="BB100" s="366">
        <f>(102*'Emissions Factors'!$G$10*'Calcs - Power'!$B99+'Emissions Factors'!$G$11*('Calcs - Power'!C99+'Calcs - Power'!D99+'Calcs - Power'!E99+'Calcs - Power'!F99))</f>
        <v>224049096.63800025</v>
      </c>
      <c r="BC100" s="359">
        <f>(102*'Emissions Factors'!$F$10*'Calcs - Power'!$G99+'Emissions Factors'!$F$11*('Calcs - Power'!$H99+'Calcs - Power'!$I99+'Calcs - Power'!$J99+'Calcs - Power'!$K99))</f>
        <v>4644368.207963055</v>
      </c>
      <c r="BD100" s="366">
        <f>(102*'Emissions Factors'!$F$10*'Calcs - Power'!$B99+'Emissions Factors'!$F$11*('Calcs - Power'!$C99+'Calcs - Power'!$D99+'Calcs - Power'!$E99+'Calcs - Power'!$F99))</f>
        <v>249556489.44022137</v>
      </c>
      <c r="BE100" s="359">
        <f>(102*'Emissions Factors'!$G$10*'Calcs - Power'!$G99+'Emissions Factors'!$G$11*('Calcs - Power'!H99+'Calcs - Power'!I99+'Calcs - Power'!J99+'Calcs - Power'!K99))</f>
        <v>4460466.755701649</v>
      </c>
      <c r="BF100" s="366">
        <f>(102*'Emissions Factors'!$G$10*'Calcs - Power'!$B99+'Emissions Factors'!$G$11*('Calcs - Power'!C99+'Calcs - Power'!D99+'Calcs - Power'!E99+'Calcs - Power'!F99))</f>
        <v>224049096.63800025</v>
      </c>
    </row>
    <row r="101" spans="1:58" x14ac:dyDescent="0.3">
      <c r="A101" s="351">
        <f t="shared" si="20"/>
        <v>89</v>
      </c>
      <c r="B101" s="352">
        <f t="shared" si="14"/>
        <v>0.99999999999999989</v>
      </c>
      <c r="C101" s="363">
        <f t="shared" si="15"/>
        <v>0.99999999999999967</v>
      </c>
      <c r="D101" s="352">
        <f t="shared" si="16"/>
        <v>1</v>
      </c>
      <c r="E101" s="364">
        <f t="shared" si="17"/>
        <v>1</v>
      </c>
      <c r="F101" s="364">
        <f t="shared" si="18"/>
        <v>1</v>
      </c>
      <c r="G101" s="365">
        <f t="shared" si="19"/>
        <v>1</v>
      </c>
      <c r="P101" s="358">
        <f t="shared" si="21"/>
        <v>89</v>
      </c>
      <c r="Q101" s="359">
        <f>(('Methane Leakage'!$C$6/'Methane Leakage'!$C$5)*102*'Emissions Factors'!$C$38*'Calcs - Power'!$G100+'Emissions Factors'!$C$37*('Calcs - Power'!$H100+'Calcs - Power'!$I100+'Calcs - Power'!$J100+'Calcs - Power'!$K100))</f>
        <v>24841.367624034126</v>
      </c>
      <c r="R101" s="366">
        <f>(('Methane Leakage'!$C$6/'Methane Leakage'!$C$5)*102*'Emissions Factors'!$C$38*'Calcs - Power'!$B100+'Emissions Factors'!$C$37*('Calcs - Power'!$C100+'Calcs - Power'!$D100+'Calcs - Power'!$E100+'Calcs - Power'!$F100))</f>
        <v>1352004.8971433868</v>
      </c>
      <c r="S101" s="359">
        <f>(('Methane Leakage'!$C$6/'Methane Leakage'!$C$5)*102*'Emissions Factors'!$D$38*'Calcs - Power'!$G100+'Emissions Factors'!$D$37*('Calcs - Power'!$H100+'Calcs - Power'!$I100+'Calcs - Power'!$J100+'Calcs - Power'!$K100))</f>
        <v>24841.367624034126</v>
      </c>
      <c r="T101" s="366">
        <f>(('Methane Leakage'!$C$6/'Methane Leakage'!$C$5)*102*'Emissions Factors'!$D$38*'Calcs - Power'!$B100+'Emissions Factors'!$D$37*('Calcs - Power'!$C100+'Calcs - Power'!$D100+'Calcs - Power'!$E100+'Calcs - Power'!$F100))</f>
        <v>1352004.8971433868</v>
      </c>
      <c r="U101" s="361">
        <f>(102*'Emissions Factors'!$C$36*'Calcs - Power'!$G100+'Emissions Factors'!$C$35*('Calcs - Power'!$H100+'Calcs - Power'!$I100+'Calcs - Power'!$J100+'Calcs - Power'!$K100))</f>
        <v>43671.873032400013</v>
      </c>
      <c r="V101" s="366">
        <f>(102*'Emissions Factors'!$C$36*'Calcs - Power'!$B100+'Emissions Factors'!$C$35*('Calcs - Power'!$C100+'Calcs - Power'!$D100+'Calcs - Power'!$E100+'Calcs - Power'!$F100))</f>
        <v>2212506.8587705926</v>
      </c>
      <c r="W101" s="359">
        <f>(102*'Emissions Factors'!$D$36*'Calcs - Power'!$G100+'Emissions Factors'!$D$35*('Calcs - Power'!$H100+'Calcs - Power'!$I100+'Calcs - Power'!$J100+'Calcs - Power'!$K100))</f>
        <v>43671.873032400013</v>
      </c>
      <c r="X101" s="366">
        <f>(102*'Emissions Factors'!$D$36*'Calcs - Power'!$B100+'Emissions Factors'!$D$35*('Calcs - Power'!$C100+'Calcs - Power'!$D100+'Calcs - Power'!$E100+'Calcs - Power'!$F100))</f>
        <v>2212506.8587705926</v>
      </c>
      <c r="Y101" s="359">
        <f>(102*'Emissions Factors'!$C$38*'Calcs - Power'!$G100+'Emissions Factors'!$C$37*('Calcs - Power'!$H100+'Calcs - Power'!$I100+'Calcs - Power'!$J100+'Calcs - Power'!$K100))</f>
        <v>24841.367624034126</v>
      </c>
      <c r="Z101" s="366">
        <f>(102*'Emissions Factors'!$C$38*'Calcs - Power'!$B100+'Emissions Factors'!$C$37*('Calcs - Power'!$C100+'Calcs - Power'!$D100+'Calcs - Power'!$E100+'Calcs - Power'!$F100))</f>
        <v>1352004.8971433868</v>
      </c>
      <c r="AA101" s="359">
        <f>(102*'Emissions Factors'!$C$36*'Calcs - Power'!$G100+'Emissions Factors'!$C$35*('Calcs - Power'!$H100+'Calcs - Power'!$I100+'Calcs - Power'!$J100+'Calcs - Power'!$K100))</f>
        <v>43671.873032400013</v>
      </c>
      <c r="AB101" s="366">
        <f>(102*'Emissions Factors'!$C$36*'Calcs - Power'!$B100+'Emissions Factors'!$C$35*('Calcs - Power'!$C100+'Calcs - Power'!$D100+'Calcs - Power'!$E100+'Calcs - Power'!$F100))</f>
        <v>2212506.8587705926</v>
      </c>
      <c r="AI101" s="358">
        <f t="shared" si="22"/>
        <v>89</v>
      </c>
      <c r="AJ101" s="359">
        <f>(('Methane Leakage'!$G$6/'Methane Leakage'!$G$5)*102*'Emissions Factors'!$D$10*'Calcs - Power'!$G100+'Emissions Factors'!$D$11*('Calcs - Power'!$H100+'Calcs - Power'!$I100+'Calcs - Power'!$J100+'Calcs - Power'!$K100))</f>
        <v>3457.7541650375965</v>
      </c>
      <c r="AK101" s="366">
        <f>(('Methane Leakage'!$G$6/'Methane Leakage'!$G$5)*102*'Emissions Factors'!$D$10*'Calcs - Power'!$B100+'Emissions Factors'!$D$11*('Calcs - Power'!$C100+'Calcs - Power'!$D100+'Calcs - Power'!$E100+'Calcs - Power'!$F100))</f>
        <v>192711.28573956687</v>
      </c>
      <c r="AL101" s="359">
        <f>(102*'Emissions Factors'!$E$10*'Calcs - Power'!$G100+'Emissions Factors'!$E$11*('Calcs - Power'!H100+'Calcs - Power'!I100+'Calcs - Power'!J100+'Calcs - Power'!K100))</f>
        <v>3900.9906355734001</v>
      </c>
      <c r="AM101" s="366">
        <f>(102*'Emissions Factors'!$E$10*'Calcs - Power'!$B100+'Emissions Factors'!$E$11*('Calcs - Power'!C100+'Calcs - Power'!D100+'Calcs - Power'!E100+'Calcs - Power'!F100))</f>
        <v>198820.00221265643</v>
      </c>
      <c r="AN101" s="359">
        <f>(102*'Emissions Factors'!$D$10*'Calcs - Power'!$G100+'Emissions Factors'!$D$11*('Calcs - Power'!$H100+'Calcs - Power'!$I100+'Calcs - Power'!$J100+'Calcs - Power'!$K100))</f>
        <v>3457.7541650375965</v>
      </c>
      <c r="AO101" s="366">
        <f>(102*'Emissions Factors'!$D$10*'Calcs - Power'!$B100+'Emissions Factors'!$D$11*('Calcs - Power'!$C100+'Calcs - Power'!$D100+'Calcs - Power'!$E100+'Calcs - Power'!$F100))</f>
        <v>192711.28573956687</v>
      </c>
      <c r="AP101" s="367">
        <f>(102*'Emissions Factors'!$E$10*'Calcs - Power'!$G100+'Emissions Factors'!$E$11*('Calcs - Power'!H100+'Calcs - Power'!I100+'Calcs - Power'!J100+'Calcs - Power'!K100))</f>
        <v>3900.9906355734001</v>
      </c>
      <c r="AQ101" s="366">
        <f>(102*'Emissions Factors'!$E$10*'Calcs - Power'!$B100+'Emissions Factors'!$E$11*('Calcs - Power'!C100+'Calcs - Power'!D100+'Calcs - Power'!E100+'Calcs - Power'!F100))</f>
        <v>198820.00221265643</v>
      </c>
      <c r="AS101" s="357"/>
      <c r="AT101" s="357"/>
      <c r="AU101" s="357"/>
      <c r="AV101" s="357"/>
      <c r="AX101" s="358">
        <f t="shared" si="23"/>
        <v>89</v>
      </c>
      <c r="AY101" s="359">
        <f>(('Methane Leakage'!$G$6/'Methane Leakage'!$G$5)*102*'Emissions Factors'!$F$10*'Calcs - Power'!$G100+'Emissions Factors'!$F$11*('Calcs - Power'!$H100+'Calcs - Power'!$I100+'Calcs - Power'!$J100+'Calcs - Power'!$K100))</f>
        <v>4678163.6338004079</v>
      </c>
      <c r="AZ101" s="366">
        <f>(('Methane Leakage'!$G$6/'Methane Leakage'!$G$5)*102*'Emissions Factors'!$F$10*'Calcs - Power'!$B100+'Emissions Factors'!$F$11*('Calcs - Power'!$C100+'Calcs - Power'!$D100+'Calcs - Power'!$E100+'Calcs - Power'!$F100))</f>
        <v>254217763.51224142</v>
      </c>
      <c r="BA101" s="359">
        <f>(102*'Emissions Factors'!$G$10*'Calcs - Power'!$G100+'Emissions Factors'!$G$11*('Calcs - Power'!H100+'Calcs - Power'!I100+'Calcs - Power'!J100+'Calcs - Power'!K100))</f>
        <v>4497980.6383205699</v>
      </c>
      <c r="BB101" s="366">
        <f>(102*'Emissions Factors'!$G$10*'Calcs - Power'!$B100+'Emissions Factors'!$G$11*('Calcs - Power'!C100+'Calcs - Power'!D100+'Calcs - Power'!E100+'Calcs - Power'!F100))</f>
        <v>228528329.13776016</v>
      </c>
      <c r="BC101" s="359">
        <f>(102*'Emissions Factors'!$F$10*'Calcs - Power'!$G100+'Emissions Factors'!$F$11*('Calcs - Power'!$H100+'Calcs - Power'!$I100+'Calcs - Power'!$J100+'Calcs - Power'!$K100))</f>
        <v>4678163.6338004079</v>
      </c>
      <c r="BD101" s="366">
        <f>(102*'Emissions Factors'!$F$10*'Calcs - Power'!$B100+'Emissions Factors'!$F$11*('Calcs - Power'!$C100+'Calcs - Power'!$D100+'Calcs - Power'!$E100+'Calcs - Power'!$F100))</f>
        <v>254217763.51224142</v>
      </c>
      <c r="BE101" s="359">
        <f>(102*'Emissions Factors'!$G$10*'Calcs - Power'!$G100+'Emissions Factors'!$G$11*('Calcs - Power'!H100+'Calcs - Power'!I100+'Calcs - Power'!J100+'Calcs - Power'!K100))</f>
        <v>4497980.6383205699</v>
      </c>
      <c r="BF101" s="366">
        <f>(102*'Emissions Factors'!$G$10*'Calcs - Power'!$B100+'Emissions Factors'!$G$11*('Calcs - Power'!C100+'Calcs - Power'!D100+'Calcs - Power'!E100+'Calcs - Power'!F100))</f>
        <v>228528329.13776016</v>
      </c>
    </row>
    <row r="102" spans="1:58" x14ac:dyDescent="0.3">
      <c r="A102" s="351">
        <f t="shared" si="20"/>
        <v>90</v>
      </c>
      <c r="B102" s="352">
        <f t="shared" si="14"/>
        <v>1</v>
      </c>
      <c r="C102" s="363">
        <f t="shared" si="15"/>
        <v>1</v>
      </c>
      <c r="D102" s="352">
        <f t="shared" si="16"/>
        <v>1</v>
      </c>
      <c r="E102" s="364">
        <f t="shared" si="17"/>
        <v>1</v>
      </c>
      <c r="F102" s="364">
        <f t="shared" si="18"/>
        <v>1</v>
      </c>
      <c r="G102" s="365">
        <f t="shared" si="19"/>
        <v>1</v>
      </c>
      <c r="P102" s="358">
        <f t="shared" si="21"/>
        <v>90</v>
      </c>
      <c r="Q102" s="359">
        <f>(('Methane Leakage'!$C$6/'Methane Leakage'!$C$5)*102*'Emissions Factors'!$C$38*'Calcs - Power'!$G101+'Emissions Factors'!$C$37*('Calcs - Power'!$H101+'Calcs - Power'!$I101+'Calcs - Power'!$J101+'Calcs - Power'!$K101))</f>
        <v>25019.649281884853</v>
      </c>
      <c r="R102" s="366">
        <f>(('Methane Leakage'!$C$6/'Methane Leakage'!$C$5)*102*'Emissions Factors'!$C$38*'Calcs - Power'!$B101+'Emissions Factors'!$C$37*('Calcs - Power'!$C101+'Calcs - Power'!$D101+'Calcs - Power'!$E101+'Calcs - Power'!$F101))</f>
        <v>1376935.448111122</v>
      </c>
      <c r="S102" s="359">
        <f>(('Methane Leakage'!$C$6/'Methane Leakage'!$C$5)*102*'Emissions Factors'!$D$38*'Calcs - Power'!$G101+'Emissions Factors'!$D$37*('Calcs - Power'!$H101+'Calcs - Power'!$I101+'Calcs - Power'!$J101+'Calcs - Power'!$K101))</f>
        <v>25019.649281884853</v>
      </c>
      <c r="T102" s="366">
        <f>(('Methane Leakage'!$C$6/'Methane Leakage'!$C$5)*102*'Emissions Factors'!$D$38*'Calcs - Power'!$B101+'Emissions Factors'!$D$37*('Calcs - Power'!$C101+'Calcs - Power'!$D101+'Calcs - Power'!$E101+'Calcs - Power'!$F101))</f>
        <v>1376935.448111122</v>
      </c>
      <c r="U102" s="361">
        <f>(102*'Emissions Factors'!$C$36*'Calcs - Power'!$G101+'Emissions Factors'!$C$35*('Calcs - Power'!$H101+'Calcs - Power'!$I101+'Calcs - Power'!$J101+'Calcs - Power'!$K101))</f>
        <v>44037.076978022298</v>
      </c>
      <c r="V102" s="366">
        <f>(102*'Emissions Factors'!$C$36*'Calcs - Power'!$B101+'Emissions Factors'!$C$35*('Calcs - Power'!$C101+'Calcs - Power'!$D101+'Calcs - Power'!$E101+'Calcs - Power'!$F101))</f>
        <v>2256361.4185235514</v>
      </c>
      <c r="W102" s="359">
        <f>(102*'Emissions Factors'!$D$36*'Calcs - Power'!$G101+'Emissions Factors'!$D$35*('Calcs - Power'!$H101+'Calcs - Power'!$I101+'Calcs - Power'!$J101+'Calcs - Power'!$K101))</f>
        <v>44037.076978022298</v>
      </c>
      <c r="X102" s="366">
        <f>(102*'Emissions Factors'!$D$36*'Calcs - Power'!$B101+'Emissions Factors'!$D$35*('Calcs - Power'!$C101+'Calcs - Power'!$D101+'Calcs - Power'!$E101+'Calcs - Power'!$F101))</f>
        <v>2256361.4185235514</v>
      </c>
      <c r="Y102" s="359">
        <f>(102*'Emissions Factors'!$C$38*'Calcs - Power'!$G101+'Emissions Factors'!$C$37*('Calcs - Power'!$H101+'Calcs - Power'!$I101+'Calcs - Power'!$J101+'Calcs - Power'!$K101))</f>
        <v>25019.649281884853</v>
      </c>
      <c r="Z102" s="366">
        <f>(102*'Emissions Factors'!$C$38*'Calcs - Power'!$B101+'Emissions Factors'!$C$37*('Calcs - Power'!$C101+'Calcs - Power'!$D101+'Calcs - Power'!$E101+'Calcs - Power'!$F101))</f>
        <v>1376935.448111122</v>
      </c>
      <c r="AA102" s="359">
        <f>(102*'Emissions Factors'!$C$36*'Calcs - Power'!$G101+'Emissions Factors'!$C$35*('Calcs - Power'!$H101+'Calcs - Power'!$I101+'Calcs - Power'!$J101+'Calcs - Power'!$K101))</f>
        <v>44037.076978022298</v>
      </c>
      <c r="AB102" s="366">
        <f>(102*'Emissions Factors'!$C$36*'Calcs - Power'!$B101+'Emissions Factors'!$C$35*('Calcs - Power'!$C101+'Calcs - Power'!$D101+'Calcs - Power'!$E101+'Calcs - Power'!$F101))</f>
        <v>2256361.4185235514</v>
      </c>
      <c r="AI102" s="358">
        <f t="shared" si="22"/>
        <v>90</v>
      </c>
      <c r="AJ102" s="359">
        <f>(('Methane Leakage'!$G$6/'Methane Leakage'!$G$5)*102*'Emissions Factors'!$D$10*'Calcs - Power'!$G101+'Emissions Factors'!$D$11*('Calcs - Power'!$H101+'Calcs - Power'!$I101+'Calcs - Power'!$J101+'Calcs - Power'!$K101))</f>
        <v>3481.1454553360913</v>
      </c>
      <c r="AK102" s="366">
        <f>(('Methane Leakage'!$G$6/'Methane Leakage'!$G$5)*102*'Emissions Factors'!$D$10*'Calcs - Power'!$B101+'Emissions Factors'!$D$11*('Calcs - Power'!$C101+'Calcs - Power'!$D101+'Calcs - Power'!$E101+'Calcs - Power'!$F101))</f>
        <v>196180.74119230043</v>
      </c>
      <c r="AL102" s="359">
        <f>(102*'Emissions Factors'!$E$10*'Calcs - Power'!$G101+'Emissions Factors'!$E$11*('Calcs - Power'!H101+'Calcs - Power'!I101+'Calcs - Power'!J101+'Calcs - Power'!K101))</f>
        <v>3933.2382796275929</v>
      </c>
      <c r="AM102" s="366">
        <f>(102*'Emissions Factors'!$E$10*'Calcs - Power'!$B101+'Emissions Factors'!$E$11*('Calcs - Power'!C101+'Calcs - Power'!D101+'Calcs - Power'!E101+'Calcs - Power'!F101))</f>
        <v>202737.12416804221</v>
      </c>
      <c r="AN102" s="359">
        <f>(102*'Emissions Factors'!$D$10*'Calcs - Power'!$G101+'Emissions Factors'!$D$11*('Calcs - Power'!$H101+'Calcs - Power'!$I101+'Calcs - Power'!$J101+'Calcs - Power'!$K101))</f>
        <v>3481.1454553360913</v>
      </c>
      <c r="AO102" s="366">
        <f>(102*'Emissions Factors'!$D$10*'Calcs - Power'!$B101+'Emissions Factors'!$D$11*('Calcs - Power'!$C101+'Calcs - Power'!$D101+'Calcs - Power'!$E101+'Calcs - Power'!$F101))</f>
        <v>196180.74119230043</v>
      </c>
      <c r="AP102" s="367">
        <f>(102*'Emissions Factors'!$E$10*'Calcs - Power'!$G101+'Emissions Factors'!$E$11*('Calcs - Power'!H101+'Calcs - Power'!I101+'Calcs - Power'!J101+'Calcs - Power'!K101))</f>
        <v>3933.2382796275929</v>
      </c>
      <c r="AQ102" s="366">
        <f>(102*'Emissions Factors'!$E$10*'Calcs - Power'!$B101+'Emissions Factors'!$E$11*('Calcs - Power'!C101+'Calcs - Power'!D101+'Calcs - Power'!E101+'Calcs - Power'!F101))</f>
        <v>202737.12416804221</v>
      </c>
      <c r="AS102" s="357"/>
      <c r="AT102" s="357"/>
      <c r="AU102" s="357"/>
      <c r="AV102" s="357"/>
      <c r="AX102" s="358">
        <f t="shared" si="23"/>
        <v>90</v>
      </c>
      <c r="AY102" s="359">
        <f>(('Methane Leakage'!$G$6/'Methane Leakage'!$G$5)*102*'Emissions Factors'!$F$10*'Calcs - Power'!$G101+'Emissions Factors'!$F$11*('Calcs - Power'!$H101+'Calcs - Power'!$I101+'Calcs - Power'!$J101+'Calcs - Power'!$K101))</f>
        <v>4711861.9745032918</v>
      </c>
      <c r="AZ102" s="366">
        <f>(('Methane Leakage'!$G$6/'Methane Leakage'!$G$5)*102*'Emissions Factors'!$F$10*'Calcs - Power'!$B101+'Emissions Factors'!$F$11*('Calcs - Power'!$C101+'Calcs - Power'!$D101+'Calcs - Power'!$E101+'Calcs - Power'!$F101))</f>
        <v>258912784.3468143</v>
      </c>
      <c r="BA102" s="359">
        <f>(102*'Emissions Factors'!$G$10*'Calcs - Power'!$G101+'Emissions Factors'!$G$11*('Calcs - Power'!H101+'Calcs - Power'!I101+'Calcs - Power'!J101+'Calcs - Power'!K101))</f>
        <v>4535389.5741853984</v>
      </c>
      <c r="BB102" s="366">
        <f>(102*'Emissions Factors'!$G$10*'Calcs - Power'!$B101+'Emissions Factors'!$G$11*('Calcs - Power'!C101+'Calcs - Power'!D101+'Calcs - Power'!E101+'Calcs - Power'!F101))</f>
        <v>233045022.93294612</v>
      </c>
      <c r="BC102" s="359">
        <f>(102*'Emissions Factors'!$F$10*'Calcs - Power'!$G101+'Emissions Factors'!$F$11*('Calcs - Power'!$H101+'Calcs - Power'!$I101+'Calcs - Power'!$J101+'Calcs - Power'!$K101))</f>
        <v>4711861.9745032918</v>
      </c>
      <c r="BD102" s="366">
        <f>(102*'Emissions Factors'!$F$10*'Calcs - Power'!$B101+'Emissions Factors'!$F$11*('Calcs - Power'!$C101+'Calcs - Power'!$D101+'Calcs - Power'!$E101+'Calcs - Power'!$F101))</f>
        <v>258912784.3468143</v>
      </c>
      <c r="BE102" s="359">
        <f>(102*'Emissions Factors'!$G$10*'Calcs - Power'!$G101+'Emissions Factors'!$G$11*('Calcs - Power'!H101+'Calcs - Power'!I101+'Calcs - Power'!J101+'Calcs - Power'!K101))</f>
        <v>4535389.5741853984</v>
      </c>
      <c r="BF102" s="366">
        <f>(102*'Emissions Factors'!$G$10*'Calcs - Power'!$B101+'Emissions Factors'!$G$11*('Calcs - Power'!C101+'Calcs - Power'!D101+'Calcs - Power'!E101+'Calcs - Power'!F101))</f>
        <v>233045022.93294612</v>
      </c>
    </row>
    <row r="103" spans="1:58" x14ac:dyDescent="0.3">
      <c r="A103" s="351">
        <f t="shared" si="20"/>
        <v>91</v>
      </c>
      <c r="B103" s="352">
        <f t="shared" si="14"/>
        <v>1</v>
      </c>
      <c r="C103" s="363">
        <f t="shared" si="15"/>
        <v>1</v>
      </c>
      <c r="D103" s="352">
        <f t="shared" si="16"/>
        <v>1</v>
      </c>
      <c r="E103" s="364">
        <f t="shared" si="17"/>
        <v>1</v>
      </c>
      <c r="F103" s="364">
        <f t="shared" si="18"/>
        <v>1</v>
      </c>
      <c r="G103" s="365">
        <f t="shared" si="19"/>
        <v>1</v>
      </c>
      <c r="P103" s="358">
        <f t="shared" si="21"/>
        <v>91</v>
      </c>
      <c r="Q103" s="359">
        <f>(('Methane Leakage'!$C$6/'Methane Leakage'!$C$5)*102*'Emissions Factors'!$C$38*'Calcs - Power'!$G102+'Emissions Factors'!$C$37*('Calcs - Power'!$H102+'Calcs - Power'!$I102+'Calcs - Power'!$J102+'Calcs - Power'!$K102))</f>
        <v>25197.424467729852</v>
      </c>
      <c r="R103" s="366">
        <f>(('Methane Leakage'!$C$6/'Methane Leakage'!$C$5)*102*'Emissions Factors'!$C$38*'Calcs - Power'!$B102+'Emissions Factors'!$C$37*('Calcs - Power'!$C102+'Calcs - Power'!$D102+'Calcs - Power'!$E102+'Calcs - Power'!$F102))</f>
        <v>1402044.0268866816</v>
      </c>
      <c r="S103" s="359">
        <f>(('Methane Leakage'!$C$6/'Methane Leakage'!$C$5)*102*'Emissions Factors'!$D$38*'Calcs - Power'!$G102+'Emissions Factors'!$D$37*('Calcs - Power'!$H102+'Calcs - Power'!$I102+'Calcs - Power'!$J102+'Calcs - Power'!$K102))</f>
        <v>25197.424467729852</v>
      </c>
      <c r="T103" s="366">
        <f>(('Methane Leakage'!$C$6/'Methane Leakage'!$C$5)*102*'Emissions Factors'!$D$38*'Calcs - Power'!$B102+'Emissions Factors'!$D$37*('Calcs - Power'!$C102+'Calcs - Power'!$D102+'Calcs - Power'!$E102+'Calcs - Power'!$F102))</f>
        <v>1402044.0268866816</v>
      </c>
      <c r="U103" s="361">
        <f>(102*'Emissions Factors'!$C$36*'Calcs - Power'!$G102+'Emissions Factors'!$C$35*('Calcs - Power'!$H102+'Calcs - Power'!$I102+'Calcs - Power'!$J102+'Calcs - Power'!$K102))</f>
        <v>44401.270371536761</v>
      </c>
      <c r="V103" s="366">
        <f>(102*'Emissions Factors'!$C$36*'Calcs - Power'!$B102+'Emissions Factors'!$C$35*('Calcs - Power'!$C102+'Calcs - Power'!$D102+'Calcs - Power'!$E102+'Calcs - Power'!$F102))</f>
        <v>2300580.6758810119</v>
      </c>
      <c r="W103" s="359">
        <f>(102*'Emissions Factors'!$D$36*'Calcs - Power'!$G102+'Emissions Factors'!$D$35*('Calcs - Power'!$H102+'Calcs - Power'!$I102+'Calcs - Power'!$J102+'Calcs - Power'!$K102))</f>
        <v>44401.270371536761</v>
      </c>
      <c r="X103" s="366">
        <f>(102*'Emissions Factors'!$D$36*'Calcs - Power'!$B102+'Emissions Factors'!$D$35*('Calcs - Power'!$C102+'Calcs - Power'!$D102+'Calcs - Power'!$E102+'Calcs - Power'!$F102))</f>
        <v>2300580.6758810119</v>
      </c>
      <c r="Y103" s="359">
        <f>(102*'Emissions Factors'!$C$38*'Calcs - Power'!$G102+'Emissions Factors'!$C$37*('Calcs - Power'!$H102+'Calcs - Power'!$I102+'Calcs - Power'!$J102+'Calcs - Power'!$K102))</f>
        <v>25197.424467729852</v>
      </c>
      <c r="Z103" s="366">
        <f>(102*'Emissions Factors'!$C$38*'Calcs - Power'!$B102+'Emissions Factors'!$C$37*('Calcs - Power'!$C102+'Calcs - Power'!$D102+'Calcs - Power'!$E102+'Calcs - Power'!$F102))</f>
        <v>1402044.0268866816</v>
      </c>
      <c r="AA103" s="359">
        <f>(102*'Emissions Factors'!$C$36*'Calcs - Power'!$G102+'Emissions Factors'!$C$35*('Calcs - Power'!$H102+'Calcs - Power'!$I102+'Calcs - Power'!$J102+'Calcs - Power'!$K102))</f>
        <v>44401.270371536761</v>
      </c>
      <c r="AB103" s="366">
        <f>(102*'Emissions Factors'!$C$36*'Calcs - Power'!$B102+'Emissions Factors'!$C$35*('Calcs - Power'!$C102+'Calcs - Power'!$D102+'Calcs - Power'!$E102+'Calcs - Power'!$F102))</f>
        <v>2300580.6758810119</v>
      </c>
      <c r="AI103" s="358">
        <f t="shared" si="22"/>
        <v>91</v>
      </c>
      <c r="AJ103" s="359">
        <f>(('Methane Leakage'!$G$6/'Methane Leakage'!$G$5)*102*'Emissions Factors'!$D$10*'Calcs - Power'!$G102+'Emissions Factors'!$D$11*('Calcs - Power'!$H102+'Calcs - Power'!$I102+'Calcs - Power'!$J102+'Calcs - Power'!$K102))</f>
        <v>3504.4695533908762</v>
      </c>
      <c r="AK103" s="366">
        <f>(('Methane Leakage'!$G$6/'Methane Leakage'!$G$5)*102*'Emissions Factors'!$D$10*'Calcs - Power'!$B102+'Emissions Factors'!$D$11*('Calcs - Power'!$C102+'Calcs - Power'!$D102+'Calcs - Power'!$E102+'Calcs - Power'!$F102))</f>
        <v>199673.55425334632</v>
      </c>
      <c r="AL103" s="359">
        <f>(102*'Emissions Factors'!$E$10*'Calcs - Power'!$G102+'Emissions Factors'!$E$11*('Calcs - Power'!H102+'Calcs - Power'!I102+'Calcs - Power'!J102+'Calcs - Power'!K102))</f>
        <v>3965.3965244754991</v>
      </c>
      <c r="AM103" s="366">
        <f>(102*'Emissions Factors'!$E$10*'Calcs - Power'!$B102+'Emissions Factors'!$E$11*('Calcs - Power'!C102+'Calcs - Power'!D102+'Calcs - Power'!E102+'Calcs - Power'!F102))</f>
        <v>206686.44897263785</v>
      </c>
      <c r="AN103" s="359">
        <f>(102*'Emissions Factors'!$D$10*'Calcs - Power'!$G102+'Emissions Factors'!$D$11*('Calcs - Power'!$H102+'Calcs - Power'!$I102+'Calcs - Power'!$J102+'Calcs - Power'!$K102))</f>
        <v>3504.4695533908762</v>
      </c>
      <c r="AO103" s="366">
        <f>(102*'Emissions Factors'!$D$10*'Calcs - Power'!$B102+'Emissions Factors'!$D$11*('Calcs - Power'!$C102+'Calcs - Power'!$D102+'Calcs - Power'!$E102+'Calcs - Power'!$F102))</f>
        <v>199673.55425334632</v>
      </c>
      <c r="AP103" s="367">
        <f>(102*'Emissions Factors'!$E$10*'Calcs - Power'!$G102+'Emissions Factors'!$E$11*('Calcs - Power'!H102+'Calcs - Power'!I102+'Calcs - Power'!J102+'Calcs - Power'!K102))</f>
        <v>3965.3965244754991</v>
      </c>
      <c r="AQ103" s="366">
        <f>(102*'Emissions Factors'!$E$10*'Calcs - Power'!$B102+'Emissions Factors'!$E$11*('Calcs - Power'!C102+'Calcs - Power'!D102+'Calcs - Power'!E102+'Calcs - Power'!F102))</f>
        <v>206686.44897263785</v>
      </c>
      <c r="AS103" s="357"/>
      <c r="AT103" s="357"/>
      <c r="AU103" s="357"/>
      <c r="AV103" s="357"/>
      <c r="AX103" s="358">
        <f t="shared" si="23"/>
        <v>91</v>
      </c>
      <c r="AY103" s="359">
        <f>(('Methane Leakage'!$G$6/'Methane Leakage'!$G$5)*102*'Emissions Factors'!$F$10*'Calcs - Power'!$G102+'Emissions Factors'!$F$11*('Calcs - Power'!$H102+'Calcs - Power'!$I102+'Calcs - Power'!$J102+'Calcs - Power'!$K102))</f>
        <v>4745464.6477186317</v>
      </c>
      <c r="AZ103" s="366">
        <f>(('Methane Leakage'!$G$6/'Methane Leakage'!$G$5)*102*'Emissions Factors'!$F$10*'Calcs - Power'!$B102+'Emissions Factors'!$F$11*('Calcs - Power'!$C102+'Calcs - Power'!$D102+'Calcs - Power'!$E102+'Calcs - Power'!$F102))</f>
        <v>263641455.57274699</v>
      </c>
      <c r="BA103" s="359">
        <f>(102*'Emissions Factors'!$G$10*'Calcs - Power'!$G102+'Emissions Factors'!$G$11*('Calcs - Power'!H102+'Calcs - Power'!I102+'Calcs - Power'!J102+'Calcs - Power'!K102))</f>
        <v>4572694.9045399223</v>
      </c>
      <c r="BB103" s="366">
        <f>(102*'Emissions Factors'!$G$10*'Calcs - Power'!$B102+'Emissions Factors'!$G$11*('Calcs - Power'!C102+'Calcs - Power'!D102+'Calcs - Power'!E102+'Calcs - Power'!F102))</f>
        <v>237599073.75148824</v>
      </c>
      <c r="BC103" s="359">
        <f>(102*'Emissions Factors'!$F$10*'Calcs - Power'!$G102+'Emissions Factors'!$F$11*('Calcs - Power'!$H102+'Calcs - Power'!$I102+'Calcs - Power'!$J102+'Calcs - Power'!$K102))</f>
        <v>4745464.6477186317</v>
      </c>
      <c r="BD103" s="366">
        <f>(102*'Emissions Factors'!$F$10*'Calcs - Power'!$B102+'Emissions Factors'!$F$11*('Calcs - Power'!$C102+'Calcs - Power'!$D102+'Calcs - Power'!$E102+'Calcs - Power'!$F102))</f>
        <v>263641455.57274699</v>
      </c>
      <c r="BE103" s="359">
        <f>(102*'Emissions Factors'!$G$10*'Calcs - Power'!$G102+'Emissions Factors'!$G$11*('Calcs - Power'!H102+'Calcs - Power'!I102+'Calcs - Power'!J102+'Calcs - Power'!K102))</f>
        <v>4572694.9045399223</v>
      </c>
      <c r="BF103" s="366">
        <f>(102*'Emissions Factors'!$G$10*'Calcs - Power'!$B102+'Emissions Factors'!$G$11*('Calcs - Power'!C102+'Calcs - Power'!D102+'Calcs - Power'!E102+'Calcs - Power'!F102))</f>
        <v>237599073.75148824</v>
      </c>
    </row>
    <row r="104" spans="1:58" x14ac:dyDescent="0.3">
      <c r="A104" s="351">
        <f t="shared" si="20"/>
        <v>92</v>
      </c>
      <c r="B104" s="352">
        <f t="shared" si="14"/>
        <v>1</v>
      </c>
      <c r="C104" s="363">
        <f t="shared" si="15"/>
        <v>0.99999999999999989</v>
      </c>
      <c r="D104" s="352">
        <f t="shared" si="16"/>
        <v>1</v>
      </c>
      <c r="E104" s="364">
        <f t="shared" si="17"/>
        <v>1</v>
      </c>
      <c r="F104" s="364">
        <f t="shared" si="18"/>
        <v>1</v>
      </c>
      <c r="G104" s="365">
        <f t="shared" si="19"/>
        <v>1</v>
      </c>
      <c r="P104" s="358">
        <f t="shared" si="21"/>
        <v>92</v>
      </c>
      <c r="Q104" s="359">
        <f>(('Methane Leakage'!$C$6/'Methane Leakage'!$C$5)*102*'Emissions Factors'!$C$38*'Calcs - Power'!$G103+'Emissions Factors'!$C$37*('Calcs - Power'!$H103+'Calcs - Power'!$I103+'Calcs - Power'!$J103+'Calcs - Power'!$K103))</f>
        <v>25374.700394652449</v>
      </c>
      <c r="R104" s="366">
        <f>(('Methane Leakage'!$C$6/'Methane Leakage'!$C$5)*102*'Emissions Factors'!$C$38*'Calcs - Power'!$B103+'Emissions Factors'!$C$37*('Calcs - Power'!$C103+'Calcs - Power'!$D103+'Calcs - Power'!$E103+'Calcs - Power'!$F103))</f>
        <v>1427330.1306302575</v>
      </c>
      <c r="S104" s="359">
        <f>(('Methane Leakage'!$C$6/'Methane Leakage'!$C$5)*102*'Emissions Factors'!$D$38*'Calcs - Power'!$G103+'Emissions Factors'!$D$37*('Calcs - Power'!$H103+'Calcs - Power'!$I103+'Calcs - Power'!$J103+'Calcs - Power'!$K103))</f>
        <v>25374.700394652449</v>
      </c>
      <c r="T104" s="366">
        <f>(('Methane Leakage'!$C$6/'Methane Leakage'!$C$5)*102*'Emissions Factors'!$D$38*'Calcs - Power'!$B103+'Emissions Factors'!$D$37*('Calcs - Power'!$C103+'Calcs - Power'!$D103+'Calcs - Power'!$E103+'Calcs - Power'!$F103))</f>
        <v>1427330.1306302575</v>
      </c>
      <c r="U104" s="361">
        <f>(102*'Emissions Factors'!$C$36*'Calcs - Power'!$G103+'Emissions Factors'!$C$35*('Calcs - Power'!$H103+'Calcs - Power'!$I103+'Calcs - Power'!$J103+'Calcs - Power'!$K103))</f>
        <v>44764.465769589457</v>
      </c>
      <c r="V104" s="366">
        <f>(102*'Emissions Factors'!$C$36*'Calcs - Power'!$B103+'Emissions Factors'!$C$35*('Calcs - Power'!$C103+'Calcs - Power'!$D103+'Calcs - Power'!$E103+'Calcs - Power'!$F103))</f>
        <v>2345163.6266062888</v>
      </c>
      <c r="W104" s="359">
        <f>(102*'Emissions Factors'!$D$36*'Calcs - Power'!$G103+'Emissions Factors'!$D$35*('Calcs - Power'!$H103+'Calcs - Power'!$I103+'Calcs - Power'!$J103+'Calcs - Power'!$K103))</f>
        <v>44764.465769589457</v>
      </c>
      <c r="X104" s="366">
        <f>(102*'Emissions Factors'!$D$36*'Calcs - Power'!$B103+'Emissions Factors'!$D$35*('Calcs - Power'!$C103+'Calcs - Power'!$D103+'Calcs - Power'!$E103+'Calcs - Power'!$F103))</f>
        <v>2345163.6266062888</v>
      </c>
      <c r="Y104" s="359">
        <f>(102*'Emissions Factors'!$C$38*'Calcs - Power'!$G103+'Emissions Factors'!$C$37*('Calcs - Power'!$H103+'Calcs - Power'!$I103+'Calcs - Power'!$J103+'Calcs - Power'!$K103))</f>
        <v>25374.700394652449</v>
      </c>
      <c r="Z104" s="366">
        <f>(102*'Emissions Factors'!$C$38*'Calcs - Power'!$B103+'Emissions Factors'!$C$37*('Calcs - Power'!$C103+'Calcs - Power'!$D103+'Calcs - Power'!$E103+'Calcs - Power'!$F103))</f>
        <v>1427330.1306302575</v>
      </c>
      <c r="AA104" s="359">
        <f>(102*'Emissions Factors'!$C$36*'Calcs - Power'!$G103+'Emissions Factors'!$C$35*('Calcs - Power'!$H103+'Calcs - Power'!$I103+'Calcs - Power'!$J103+'Calcs - Power'!$K103))</f>
        <v>44764.465769589457</v>
      </c>
      <c r="AB104" s="366">
        <f>(102*'Emissions Factors'!$C$36*'Calcs - Power'!$B103+'Emissions Factors'!$C$35*('Calcs - Power'!$C103+'Calcs - Power'!$D103+'Calcs - Power'!$E103+'Calcs - Power'!$F103))</f>
        <v>2345163.6266062888</v>
      </c>
      <c r="AI104" s="358">
        <f t="shared" si="22"/>
        <v>92</v>
      </c>
      <c r="AJ104" s="359">
        <f>(('Methane Leakage'!$G$6/'Methane Leakage'!$G$5)*102*'Emissions Factors'!$D$10*'Calcs - Power'!$G103+'Emissions Factors'!$D$11*('Calcs - Power'!$H103+'Calcs - Power'!$I103+'Calcs - Power'!$J103+'Calcs - Power'!$K103))</f>
        <v>3527.7274666311632</v>
      </c>
      <c r="AK104" s="366">
        <f>(('Methane Leakage'!$G$6/'Methane Leakage'!$G$5)*102*'Emissions Factors'!$D$10*'Calcs - Power'!$B103+'Emissions Factors'!$D$11*('Calcs - Power'!$C103+'Calcs - Power'!$D103+'Calcs - Power'!$E103+'Calcs - Power'!$F103))</f>
        <v>203189.65823796683</v>
      </c>
      <c r="AL104" s="359">
        <f>(102*'Emissions Factors'!$E$10*'Calcs - Power'!$G103+'Emissions Factors'!$E$11*('Calcs - Power'!H103+'Calcs - Power'!I103+'Calcs - Power'!J103+'Calcs - Power'!K103))</f>
        <v>3997.4664926370697</v>
      </c>
      <c r="AM104" s="366">
        <f>(102*'Emissions Factors'!$E$10*'Calcs - Power'!$B103+'Emissions Factors'!$E$11*('Calcs - Power'!C103+'Calcs - Power'!D103+'Calcs - Power'!E103+'Calcs - Power'!F103))</f>
        <v>210667.88779186879</v>
      </c>
      <c r="AN104" s="359">
        <f>(102*'Emissions Factors'!$D$10*'Calcs - Power'!$G103+'Emissions Factors'!$D$11*('Calcs - Power'!$H103+'Calcs - Power'!$I103+'Calcs - Power'!$J103+'Calcs - Power'!$K103))</f>
        <v>3527.7274666311632</v>
      </c>
      <c r="AO104" s="366">
        <f>(102*'Emissions Factors'!$D$10*'Calcs - Power'!$B103+'Emissions Factors'!$D$11*('Calcs - Power'!$C103+'Calcs - Power'!$D103+'Calcs - Power'!$E103+'Calcs - Power'!$F103))</f>
        <v>203189.65823796683</v>
      </c>
      <c r="AP104" s="367">
        <f>(102*'Emissions Factors'!$E$10*'Calcs - Power'!$G103+'Emissions Factors'!$E$11*('Calcs - Power'!H103+'Calcs - Power'!I103+'Calcs - Power'!J103+'Calcs - Power'!K103))</f>
        <v>3997.4664926370697</v>
      </c>
      <c r="AQ104" s="366">
        <f>(102*'Emissions Factors'!$E$10*'Calcs - Power'!$B103+'Emissions Factors'!$E$11*('Calcs - Power'!C103+'Calcs - Power'!D103+'Calcs - Power'!E103+'Calcs - Power'!F103))</f>
        <v>210667.88779186879</v>
      </c>
      <c r="AS104" s="357"/>
      <c r="AT104" s="357"/>
      <c r="AU104" s="357"/>
      <c r="AV104" s="357"/>
      <c r="AX104" s="358">
        <f t="shared" si="23"/>
        <v>92</v>
      </c>
      <c r="AY104" s="359">
        <f>(('Methane Leakage'!$G$6/'Methane Leakage'!$G$5)*102*'Emissions Factors'!$F$10*'Calcs - Power'!$G103+'Emissions Factors'!$F$11*('Calcs - Power'!$H103+'Calcs - Power'!$I103+'Calcs - Power'!$J103+'Calcs - Power'!$K103))</f>
        <v>4778973.0115275718</v>
      </c>
      <c r="AZ104" s="366">
        <f>(('Methane Leakage'!$G$6/'Methane Leakage'!$G$5)*102*'Emissions Factors'!$F$10*'Calcs - Power'!$B103+'Emissions Factors'!$F$11*('Calcs - Power'!$C103+'Calcs - Power'!$D103+'Calcs - Power'!$E103+'Calcs - Power'!$F103))</f>
        <v>268403682.20640492</v>
      </c>
      <c r="BA104" s="359">
        <f>(102*'Emissions Factors'!$G$10*'Calcs - Power'!$G103+'Emissions Factors'!$G$11*('Calcs - Power'!H103+'Calcs - Power'!I103+'Calcs - Power'!J103+'Calcs - Power'!K103))</f>
        <v>4609897.9231468942</v>
      </c>
      <c r="BB104" s="366">
        <f>(102*'Emissions Factors'!$G$10*'Calcs - Power'!$B103+'Emissions Factors'!$G$11*('Calcs - Power'!C103+'Calcs - Power'!D103+'Calcs - Power'!E103+'Calcs - Power'!F103))</f>
        <v>242190378.63861036</v>
      </c>
      <c r="BC104" s="359">
        <f>(102*'Emissions Factors'!$F$10*'Calcs - Power'!$G103+'Emissions Factors'!$F$11*('Calcs - Power'!$H103+'Calcs - Power'!$I103+'Calcs - Power'!$J103+'Calcs - Power'!$K103))</f>
        <v>4778973.0115275718</v>
      </c>
      <c r="BD104" s="366">
        <f>(102*'Emissions Factors'!$F$10*'Calcs - Power'!$B103+'Emissions Factors'!$F$11*('Calcs - Power'!$C103+'Calcs - Power'!$D103+'Calcs - Power'!$E103+'Calcs - Power'!$F103))</f>
        <v>268403682.20640492</v>
      </c>
      <c r="BE104" s="359">
        <f>(102*'Emissions Factors'!$G$10*'Calcs - Power'!$G103+'Emissions Factors'!$G$11*('Calcs - Power'!H103+'Calcs - Power'!I103+'Calcs - Power'!J103+'Calcs - Power'!K103))</f>
        <v>4609897.9231468942</v>
      </c>
      <c r="BF104" s="366">
        <f>(102*'Emissions Factors'!$G$10*'Calcs - Power'!$B103+'Emissions Factors'!$G$11*('Calcs - Power'!C103+'Calcs - Power'!D103+'Calcs - Power'!E103+'Calcs - Power'!F103))</f>
        <v>242190378.63861036</v>
      </c>
    </row>
    <row r="105" spans="1:58" x14ac:dyDescent="0.3">
      <c r="A105" s="351">
        <f t="shared" si="20"/>
        <v>93</v>
      </c>
      <c r="B105" s="352">
        <f t="shared" si="14"/>
        <v>0.99999999999999989</v>
      </c>
      <c r="C105" s="363">
        <f t="shared" si="15"/>
        <v>0.99999999999999989</v>
      </c>
      <c r="D105" s="352">
        <f t="shared" si="16"/>
        <v>1</v>
      </c>
      <c r="E105" s="364">
        <f t="shared" si="17"/>
        <v>1</v>
      </c>
      <c r="F105" s="364">
        <f t="shared" si="18"/>
        <v>1</v>
      </c>
      <c r="G105" s="365">
        <f t="shared" si="19"/>
        <v>1</v>
      </c>
      <c r="P105" s="358">
        <f t="shared" si="21"/>
        <v>93</v>
      </c>
      <c r="Q105" s="359">
        <f>(('Methane Leakage'!$C$6/'Methane Leakage'!$C$5)*102*'Emissions Factors'!$C$38*'Calcs - Power'!$G104+'Emissions Factors'!$C$37*('Calcs - Power'!$H104+'Calcs - Power'!$I104+'Calcs - Power'!$J104+'Calcs - Power'!$K104))</f>
        <v>25551.483977118245</v>
      </c>
      <c r="R105" s="366">
        <f>(('Methane Leakage'!$C$6/'Methane Leakage'!$C$5)*102*'Emissions Factors'!$C$38*'Calcs - Power'!$B104+'Emissions Factors'!$C$37*('Calcs - Power'!$C104+'Calcs - Power'!$D104+'Calcs - Power'!$E104+'Calcs - Power'!$F104))</f>
        <v>1452793.263564287</v>
      </c>
      <c r="S105" s="359">
        <f>(('Methane Leakage'!$C$6/'Methane Leakage'!$C$5)*102*'Emissions Factors'!$D$38*'Calcs - Power'!$G104+'Emissions Factors'!$D$37*('Calcs - Power'!$H104+'Calcs - Power'!$I104+'Calcs - Power'!$J104+'Calcs - Power'!$K104))</f>
        <v>25551.483977118245</v>
      </c>
      <c r="T105" s="366">
        <f>(('Methane Leakage'!$C$6/'Methane Leakage'!$C$5)*102*'Emissions Factors'!$D$38*'Calcs - Power'!$B104+'Emissions Factors'!$D$37*('Calcs - Power'!$C104+'Calcs - Power'!$D104+'Calcs - Power'!$E104+'Calcs - Power'!$F104))</f>
        <v>1452793.263564287</v>
      </c>
      <c r="U105" s="361">
        <f>(102*'Emissions Factors'!$C$36*'Calcs - Power'!$G104+'Emissions Factors'!$C$35*('Calcs - Power'!$H104+'Calcs - Power'!$I104+'Calcs - Power'!$J104+'Calcs - Power'!$K104))</f>
        <v>45126.675295093468</v>
      </c>
      <c r="V105" s="366">
        <f>(102*'Emissions Factors'!$C$36*'Calcs - Power'!$B104+'Emissions Factors'!$C$35*('Calcs - Power'!$C104+'Calcs - Power'!$D104+'Calcs - Power'!$E104+'Calcs - Power'!$F104))</f>
        <v>2390109.2788005802</v>
      </c>
      <c r="W105" s="359">
        <f>(102*'Emissions Factors'!$D$36*'Calcs - Power'!$G104+'Emissions Factors'!$D$35*('Calcs - Power'!$H104+'Calcs - Power'!$I104+'Calcs - Power'!$J104+'Calcs - Power'!$K104))</f>
        <v>45126.675295093468</v>
      </c>
      <c r="X105" s="366">
        <f>(102*'Emissions Factors'!$D$36*'Calcs - Power'!$B104+'Emissions Factors'!$D$35*('Calcs - Power'!$C104+'Calcs - Power'!$D104+'Calcs - Power'!$E104+'Calcs - Power'!$F104))</f>
        <v>2390109.2788005802</v>
      </c>
      <c r="Y105" s="359">
        <f>(102*'Emissions Factors'!$C$38*'Calcs - Power'!$G104+'Emissions Factors'!$C$37*('Calcs - Power'!$H104+'Calcs - Power'!$I104+'Calcs - Power'!$J104+'Calcs - Power'!$K104))</f>
        <v>25551.483977118245</v>
      </c>
      <c r="Z105" s="366">
        <f>(102*'Emissions Factors'!$C$38*'Calcs - Power'!$B104+'Emissions Factors'!$C$37*('Calcs - Power'!$C104+'Calcs - Power'!$D104+'Calcs - Power'!$E104+'Calcs - Power'!$F104))</f>
        <v>1452793.263564287</v>
      </c>
      <c r="AA105" s="359">
        <f>(102*'Emissions Factors'!$C$36*'Calcs - Power'!$G104+'Emissions Factors'!$C$35*('Calcs - Power'!$H104+'Calcs - Power'!$I104+'Calcs - Power'!$J104+'Calcs - Power'!$K104))</f>
        <v>45126.675295093468</v>
      </c>
      <c r="AB105" s="366">
        <f>(102*'Emissions Factors'!$C$36*'Calcs - Power'!$B104+'Emissions Factors'!$C$35*('Calcs - Power'!$C104+'Calcs - Power'!$D104+'Calcs - Power'!$E104+'Calcs - Power'!$F104))</f>
        <v>2390109.2788005802</v>
      </c>
      <c r="AI105" s="358">
        <f t="shared" si="22"/>
        <v>93</v>
      </c>
      <c r="AJ105" s="359">
        <f>(('Methane Leakage'!$G$6/'Methane Leakage'!$G$5)*102*'Emissions Factors'!$D$10*'Calcs - Power'!$G104+'Emissions Factors'!$D$11*('Calcs - Power'!$H104+'Calcs - Power'!$I104+'Calcs - Power'!$J104+'Calcs - Power'!$K104))</f>
        <v>3550.9201584105763</v>
      </c>
      <c r="AK105" s="366">
        <f>(('Methane Leakage'!$G$6/'Methane Leakage'!$G$5)*102*'Emissions Factors'!$D$10*'Calcs - Power'!$B104+'Emissions Factors'!$D$11*('Calcs - Power'!$C104+'Calcs - Power'!$D104+'Calcs - Power'!$E104+'Calcs - Power'!$F104))</f>
        <v>206728.98744658101</v>
      </c>
      <c r="AL105" s="359">
        <f>(102*'Emissions Factors'!$E$10*'Calcs - Power'!$G104+'Emissions Factors'!$E$11*('Calcs - Power'!H104+'Calcs - Power'!I104+'Calcs - Power'!J104+'Calcs - Power'!K104))</f>
        <v>4029.4492672296251</v>
      </c>
      <c r="AM105" s="366">
        <f>(102*'Emissions Factors'!$E$10*'Calcs - Power'!$B104+'Emissions Factors'!$E$11*('Calcs - Power'!C104+'Calcs - Power'!D104+'Calcs - Power'!E104+'Calcs - Power'!F104))</f>
        <v>214681.352893804</v>
      </c>
      <c r="AN105" s="359">
        <f>(102*'Emissions Factors'!$D$10*'Calcs - Power'!$G104+'Emissions Factors'!$D$11*('Calcs - Power'!$H104+'Calcs - Power'!$I104+'Calcs - Power'!$J104+'Calcs - Power'!$K104))</f>
        <v>3550.9201584105763</v>
      </c>
      <c r="AO105" s="366">
        <f>(102*'Emissions Factors'!$D$10*'Calcs - Power'!$B104+'Emissions Factors'!$D$11*('Calcs - Power'!$C104+'Calcs - Power'!$D104+'Calcs - Power'!$E104+'Calcs - Power'!$F104))</f>
        <v>206728.98744658101</v>
      </c>
      <c r="AP105" s="367">
        <f>(102*'Emissions Factors'!$E$10*'Calcs - Power'!$G104+'Emissions Factors'!$E$11*('Calcs - Power'!H104+'Calcs - Power'!I104+'Calcs - Power'!J104+'Calcs - Power'!K104))</f>
        <v>4029.4492672296251</v>
      </c>
      <c r="AQ105" s="366">
        <f>(102*'Emissions Factors'!$E$10*'Calcs - Power'!$B104+'Emissions Factors'!$E$11*('Calcs - Power'!C104+'Calcs - Power'!D104+'Calcs - Power'!E104+'Calcs - Power'!F104))</f>
        <v>214681.352893804</v>
      </c>
      <c r="AS105" s="357"/>
      <c r="AT105" s="357"/>
      <c r="AU105" s="357"/>
      <c r="AV105" s="357"/>
      <c r="AX105" s="358">
        <f t="shared" si="23"/>
        <v>93</v>
      </c>
      <c r="AY105" s="359">
        <f>(('Methane Leakage'!$G$6/'Methane Leakage'!$G$5)*102*'Emissions Factors'!$F$10*'Calcs - Power'!$G104+'Emissions Factors'!$F$11*('Calcs - Power'!$H104+'Calcs - Power'!$I104+'Calcs - Power'!$J104+'Calcs - Power'!$K104))</f>
        <v>4812388.3679937553</v>
      </c>
      <c r="AZ105" s="366">
        <f>(('Methane Leakage'!$G$6/'Methane Leakage'!$G$5)*102*'Emissions Factors'!$F$10*'Calcs - Power'!$B104+'Emissions Factors'!$F$11*('Calcs - Power'!$C104+'Calcs - Power'!$D104+'Calcs - Power'!$E104+'Calcs - Power'!$F104))</f>
        <v>273199370.59393984</v>
      </c>
      <c r="BA105" s="359">
        <f>(102*'Emissions Factors'!$G$10*'Calcs - Power'!$G104+'Emissions Factors'!$G$11*('Calcs - Power'!H104+'Calcs - Power'!I104+'Calcs - Power'!J104+'Calcs - Power'!K104))</f>
        <v>4646999.8787351465</v>
      </c>
      <c r="BB105" s="366">
        <f>(102*'Emissions Factors'!$G$10*'Calcs - Power'!$B104+'Emissions Factors'!$G$11*('Calcs - Power'!C104+'Calcs - Power'!D104+'Calcs - Power'!E104+'Calcs - Power'!F104))</f>
        <v>246818835.9105837</v>
      </c>
      <c r="BC105" s="359">
        <f>(102*'Emissions Factors'!$F$10*'Calcs - Power'!$G104+'Emissions Factors'!$F$11*('Calcs - Power'!$H104+'Calcs - Power'!$I104+'Calcs - Power'!$J104+'Calcs - Power'!$K104))</f>
        <v>4812388.3679937553</v>
      </c>
      <c r="BD105" s="366">
        <f>(102*'Emissions Factors'!$F$10*'Calcs - Power'!$B104+'Emissions Factors'!$F$11*('Calcs - Power'!$C104+'Calcs - Power'!$D104+'Calcs - Power'!$E104+'Calcs - Power'!$F104))</f>
        <v>273199370.59393984</v>
      </c>
      <c r="BE105" s="359">
        <f>(102*'Emissions Factors'!$G$10*'Calcs - Power'!$G104+'Emissions Factors'!$G$11*('Calcs - Power'!H104+'Calcs - Power'!I104+'Calcs - Power'!J104+'Calcs - Power'!K104))</f>
        <v>4646999.8787351465</v>
      </c>
      <c r="BF105" s="366">
        <f>(102*'Emissions Factors'!$G$10*'Calcs - Power'!$B104+'Emissions Factors'!$G$11*('Calcs - Power'!C104+'Calcs - Power'!D104+'Calcs - Power'!E104+'Calcs - Power'!F104))</f>
        <v>246818835.9105837</v>
      </c>
    </row>
    <row r="106" spans="1:58" x14ac:dyDescent="0.3">
      <c r="A106" s="351">
        <f t="shared" si="20"/>
        <v>94</v>
      </c>
      <c r="B106" s="352">
        <f t="shared" si="14"/>
        <v>0.99999999999999989</v>
      </c>
      <c r="C106" s="363">
        <f t="shared" si="15"/>
        <v>1</v>
      </c>
      <c r="D106" s="352">
        <f t="shared" si="16"/>
        <v>1</v>
      </c>
      <c r="E106" s="364">
        <f t="shared" si="17"/>
        <v>1</v>
      </c>
      <c r="F106" s="364">
        <f t="shared" si="18"/>
        <v>1</v>
      </c>
      <c r="G106" s="365">
        <f t="shared" si="19"/>
        <v>1</v>
      </c>
      <c r="P106" s="358">
        <f t="shared" si="21"/>
        <v>94</v>
      </c>
      <c r="Q106" s="359">
        <f>(('Methane Leakage'!$C$6/'Methane Leakage'!$C$5)*102*'Emissions Factors'!$C$38*'Calcs - Power'!$G105+'Emissions Factors'!$C$37*('Calcs - Power'!$H105+'Calcs - Power'!$I105+'Calcs - Power'!$J105+'Calcs - Power'!$K105))</f>
        <v>25727.781848715556</v>
      </c>
      <c r="R106" s="366">
        <f>(('Methane Leakage'!$C$6/'Methane Leakage'!$C$5)*102*'Emissions Factors'!$C$38*'Calcs - Power'!$B105+'Emissions Factors'!$C$37*('Calcs - Power'!$C105+'Calcs - Power'!$D105+'Calcs - Power'!$E105+'Calcs - Power'!$F105))</f>
        <v>1478432.9366838061</v>
      </c>
      <c r="S106" s="359">
        <f>(('Methane Leakage'!$C$6/'Methane Leakage'!$C$5)*102*'Emissions Factors'!$D$38*'Calcs - Power'!$G105+'Emissions Factors'!$D$37*('Calcs - Power'!$H105+'Calcs - Power'!$I105+'Calcs - Power'!$J105+'Calcs - Power'!$K105))</f>
        <v>25727.781848715556</v>
      </c>
      <c r="T106" s="366">
        <f>(('Methane Leakage'!$C$6/'Methane Leakage'!$C$5)*102*'Emissions Factors'!$D$38*'Calcs - Power'!$B105+'Emissions Factors'!$D$37*('Calcs - Power'!$C105+'Calcs - Power'!$D105+'Calcs - Power'!$E105+'Calcs - Power'!$F105))</f>
        <v>1478432.9366838061</v>
      </c>
      <c r="U106" s="361">
        <f>(102*'Emissions Factors'!$C$36*'Calcs - Power'!$G105+'Emissions Factors'!$C$35*('Calcs - Power'!$H105+'Calcs - Power'!$I105+'Calcs - Power'!$J105+'Calcs - Power'!$K105))</f>
        <v>45487.910659327339</v>
      </c>
      <c r="V106" s="366">
        <f>(102*'Emissions Factors'!$C$36*'Calcs - Power'!$B105+'Emissions Factors'!$C$35*('Calcs - Power'!$C105+'Calcs - Power'!$D105+'Calcs - Power'!$E105+'Calcs - Power'!$F105))</f>
        <v>2435416.6524803923</v>
      </c>
      <c r="W106" s="359">
        <f>(102*'Emissions Factors'!$D$36*'Calcs - Power'!$G105+'Emissions Factors'!$D$35*('Calcs - Power'!$H105+'Calcs - Power'!$I105+'Calcs - Power'!$J105+'Calcs - Power'!$K105))</f>
        <v>45487.910659327339</v>
      </c>
      <c r="X106" s="366">
        <f>(102*'Emissions Factors'!$D$36*'Calcs - Power'!$B105+'Emissions Factors'!$D$35*('Calcs - Power'!$C105+'Calcs - Power'!$D105+'Calcs - Power'!$E105+'Calcs - Power'!$F105))</f>
        <v>2435416.6524803923</v>
      </c>
      <c r="Y106" s="359">
        <f>(102*'Emissions Factors'!$C$38*'Calcs - Power'!$G105+'Emissions Factors'!$C$37*('Calcs - Power'!$H105+'Calcs - Power'!$I105+'Calcs - Power'!$J105+'Calcs - Power'!$K105))</f>
        <v>25727.781848715556</v>
      </c>
      <c r="Z106" s="366">
        <f>(102*'Emissions Factors'!$C$38*'Calcs - Power'!$B105+'Emissions Factors'!$C$37*('Calcs - Power'!$C105+'Calcs - Power'!$D105+'Calcs - Power'!$E105+'Calcs - Power'!$F105))</f>
        <v>1478432.9366838061</v>
      </c>
      <c r="AA106" s="359">
        <f>(102*'Emissions Factors'!$C$36*'Calcs - Power'!$G105+'Emissions Factors'!$C$35*('Calcs - Power'!$H105+'Calcs - Power'!$I105+'Calcs - Power'!$J105+'Calcs - Power'!$K105))</f>
        <v>45487.910659327339</v>
      </c>
      <c r="AB106" s="366">
        <f>(102*'Emissions Factors'!$C$36*'Calcs - Power'!$B105+'Emissions Factors'!$C$35*('Calcs - Power'!$C105+'Calcs - Power'!$D105+'Calcs - Power'!$E105+'Calcs - Power'!$F105))</f>
        <v>2435416.6524803923</v>
      </c>
      <c r="AI106" s="358">
        <f t="shared" si="22"/>
        <v>94</v>
      </c>
      <c r="AJ106" s="359">
        <f>(('Methane Leakage'!$G$6/'Methane Leakage'!$G$5)*102*'Emissions Factors'!$D$10*'Calcs - Power'!$G105+'Emissions Factors'!$D$11*('Calcs - Power'!$H105+'Calcs - Power'!$I105+'Calcs - Power'!$J105+'Calcs - Power'!$K105))</f>
        <v>3574.0485507265412</v>
      </c>
      <c r="AK106" s="366">
        <f>(('Methane Leakage'!$G$6/'Methane Leakage'!$G$5)*102*'Emissions Factors'!$D$10*'Calcs - Power'!$B105+'Emissions Factors'!$D$11*('Calcs - Power'!$C105+'Calcs - Power'!$D105+'Calcs - Power'!$E105+'Calcs - Power'!$F105))</f>
        <v>210291.47712206459</v>
      </c>
      <c r="AL106" s="359">
        <f>(102*'Emissions Factors'!$E$10*'Calcs - Power'!$G105+'Emissions Factors'!$E$11*('Calcs - Power'!H105+'Calcs - Power'!I105+'Calcs - Power'!J105+'Calcs - Power'!K105))</f>
        <v>4061.345894007497</v>
      </c>
      <c r="AM106" s="366">
        <f>(102*'Emissions Factors'!$E$10*'Calcs - Power'!$B105+'Emissions Factors'!$E$11*('Calcs - Power'!C105+'Calcs - Power'!D105+'Calcs - Power'!E105+'Calcs - Power'!F105))</f>
        <v>218726.75761078339</v>
      </c>
      <c r="AN106" s="359">
        <f>(102*'Emissions Factors'!$D$10*'Calcs - Power'!$G105+'Emissions Factors'!$D$11*('Calcs - Power'!$H105+'Calcs - Power'!$I105+'Calcs - Power'!$J105+'Calcs - Power'!$K105))</f>
        <v>3574.0485507265412</v>
      </c>
      <c r="AO106" s="366">
        <f>(102*'Emissions Factors'!$D$10*'Calcs - Power'!$B105+'Emissions Factors'!$D$11*('Calcs - Power'!$C105+'Calcs - Power'!$D105+'Calcs - Power'!$E105+'Calcs - Power'!$F105))</f>
        <v>210291.47712206459</v>
      </c>
      <c r="AP106" s="367">
        <f>(102*'Emissions Factors'!$E$10*'Calcs - Power'!$G105+'Emissions Factors'!$E$11*('Calcs - Power'!H105+'Calcs - Power'!I105+'Calcs - Power'!J105+'Calcs - Power'!K105))</f>
        <v>4061.345894007497</v>
      </c>
      <c r="AQ106" s="366">
        <f>(102*'Emissions Factors'!$E$10*'Calcs - Power'!$B105+'Emissions Factors'!$E$11*('Calcs - Power'!C105+'Calcs - Power'!D105+'Calcs - Power'!E105+'Calcs - Power'!F105))</f>
        <v>218726.75761078339</v>
      </c>
      <c r="AS106" s="357"/>
      <c r="AT106" s="357"/>
      <c r="AU106" s="357"/>
      <c r="AV106" s="357"/>
      <c r="AX106" s="358">
        <f t="shared" si="23"/>
        <v>94</v>
      </c>
      <c r="AY106" s="359">
        <f>(('Methane Leakage'!$G$6/'Methane Leakage'!$G$5)*102*'Emissions Factors'!$F$10*'Calcs - Power'!$G105+'Emissions Factors'!$F$11*('Calcs - Power'!$H105+'Calcs - Power'!$I105+'Calcs - Power'!$J105+'Calcs - Power'!$K105))</f>
        <v>4845711.966482454</v>
      </c>
      <c r="AZ106" s="366">
        <f>(('Methane Leakage'!$G$6/'Methane Leakage'!$G$5)*102*'Emissions Factors'!$F$10*'Calcs - Power'!$B105+'Emissions Factors'!$F$11*('Calcs - Power'!$C105+'Calcs - Power'!$D105+'Calcs - Power'!$E105+'Calcs - Power'!$F105))</f>
        <v>278028428.3569507</v>
      </c>
      <c r="BA106" s="359">
        <f>(102*'Emissions Factors'!$G$10*'Calcs - Power'!$G105+'Emissions Factors'!$G$11*('Calcs - Power'!H105+'Calcs - Power'!I105+'Calcs - Power'!J105+'Calcs - Power'!K105))</f>
        <v>4684001.977311654</v>
      </c>
      <c r="BB106" s="366">
        <f>(102*'Emissions Factors'!$G$10*'Calcs - Power'!$B105+'Emissions Factors'!$G$11*('Calcs - Power'!C105+'Calcs - Power'!D105+'Calcs - Power'!E105+'Calcs - Power'!F105))</f>
        <v>251484345.11086029</v>
      </c>
      <c r="BC106" s="359">
        <f>(102*'Emissions Factors'!$F$10*'Calcs - Power'!$G105+'Emissions Factors'!$F$11*('Calcs - Power'!$H105+'Calcs - Power'!$I105+'Calcs - Power'!$J105+'Calcs - Power'!$K105))</f>
        <v>4845711.966482454</v>
      </c>
      <c r="BD106" s="366">
        <f>(102*'Emissions Factors'!$F$10*'Calcs - Power'!$B105+'Emissions Factors'!$F$11*('Calcs - Power'!$C105+'Calcs - Power'!$D105+'Calcs - Power'!$E105+'Calcs - Power'!$F105))</f>
        <v>278028428.3569507</v>
      </c>
      <c r="BE106" s="359">
        <f>(102*'Emissions Factors'!$G$10*'Calcs - Power'!$G105+'Emissions Factors'!$G$11*('Calcs - Power'!H105+'Calcs - Power'!I105+'Calcs - Power'!J105+'Calcs - Power'!K105))</f>
        <v>4684001.977311654</v>
      </c>
      <c r="BF106" s="366">
        <f>(102*'Emissions Factors'!$G$10*'Calcs - Power'!$B105+'Emissions Factors'!$G$11*('Calcs - Power'!C105+'Calcs - Power'!D105+'Calcs - Power'!E105+'Calcs - Power'!F105))</f>
        <v>251484345.11086029</v>
      </c>
    </row>
    <row r="107" spans="1:58" x14ac:dyDescent="0.3">
      <c r="A107" s="351">
        <f t="shared" si="20"/>
        <v>95</v>
      </c>
      <c r="B107" s="352">
        <f t="shared" si="14"/>
        <v>0.99999999999999989</v>
      </c>
      <c r="C107" s="363">
        <f t="shared" si="15"/>
        <v>0.99999999999999989</v>
      </c>
      <c r="D107" s="352">
        <f t="shared" si="16"/>
        <v>1</v>
      </c>
      <c r="E107" s="364">
        <f t="shared" si="17"/>
        <v>1</v>
      </c>
      <c r="F107" s="364">
        <f t="shared" si="18"/>
        <v>1</v>
      </c>
      <c r="G107" s="365">
        <f t="shared" si="19"/>
        <v>1</v>
      </c>
      <c r="P107" s="358">
        <f t="shared" si="21"/>
        <v>95</v>
      </c>
      <c r="Q107" s="359">
        <f>(('Methane Leakage'!$C$6/'Methane Leakage'!$C$5)*102*'Emissions Factors'!$C$38*'Calcs - Power'!$G106+'Emissions Factors'!$C$37*('Calcs - Power'!$H106+'Calcs - Power'!$I106+'Calcs - Power'!$J106+'Calcs - Power'!$K106))</f>
        <v>25903.600378751256</v>
      </c>
      <c r="R107" s="366">
        <f>(('Methane Leakage'!$C$6/'Methane Leakage'!$C$5)*102*'Emissions Factors'!$C$38*'Calcs - Power'!$B106+'Emissions Factors'!$C$37*('Calcs - Power'!$C106+'Calcs - Power'!$D106+'Calcs - Power'!$E106+'Calcs - Power'!$F106))</f>
        <v>1504248.6674839603</v>
      </c>
      <c r="S107" s="359">
        <f>(('Methane Leakage'!$C$6/'Methane Leakage'!$C$5)*102*'Emissions Factors'!$D$38*'Calcs - Power'!$G106+'Emissions Factors'!$D$37*('Calcs - Power'!$H106+'Calcs - Power'!$I106+'Calcs - Power'!$J106+'Calcs - Power'!$K106))</f>
        <v>25903.600378751256</v>
      </c>
      <c r="T107" s="366">
        <f>(('Methane Leakage'!$C$6/'Methane Leakage'!$C$5)*102*'Emissions Factors'!$D$38*'Calcs - Power'!$B106+'Emissions Factors'!$D$37*('Calcs - Power'!$C106+'Calcs - Power'!$D106+'Calcs - Power'!$E106+'Calcs - Power'!$F106))</f>
        <v>1504248.6674839603</v>
      </c>
      <c r="U107" s="361">
        <f>(102*'Emissions Factors'!$C$36*'Calcs - Power'!$G106+'Emissions Factors'!$C$35*('Calcs - Power'!$H106+'Calcs - Power'!$I106+'Calcs - Power'!$J106+'Calcs - Power'!$K106))</f>
        <v>45848.183182828296</v>
      </c>
      <c r="V107" s="366">
        <f>(102*'Emissions Factors'!$C$36*'Calcs - Power'!$B106+'Emissions Factors'!$C$35*('Calcs - Power'!$C106+'Calcs - Power'!$D106+'Calcs - Power'!$E106+'Calcs - Power'!$F106))</f>
        <v>2481084.7791764447</v>
      </c>
      <c r="W107" s="359">
        <f>(102*'Emissions Factors'!$D$36*'Calcs - Power'!$G106+'Emissions Factors'!$D$35*('Calcs - Power'!$H106+'Calcs - Power'!$I106+'Calcs - Power'!$J106+'Calcs - Power'!$K106))</f>
        <v>45848.183182828296</v>
      </c>
      <c r="X107" s="366">
        <f>(102*'Emissions Factors'!$D$36*'Calcs - Power'!$B106+'Emissions Factors'!$D$35*('Calcs - Power'!$C106+'Calcs - Power'!$D106+'Calcs - Power'!$E106+'Calcs - Power'!$F106))</f>
        <v>2481084.7791764447</v>
      </c>
      <c r="Y107" s="359">
        <f>(102*'Emissions Factors'!$C$38*'Calcs - Power'!$G106+'Emissions Factors'!$C$37*('Calcs - Power'!$H106+'Calcs - Power'!$I106+'Calcs - Power'!$J106+'Calcs - Power'!$K106))</f>
        <v>25903.600378751256</v>
      </c>
      <c r="Z107" s="366">
        <f>(102*'Emissions Factors'!$C$38*'Calcs - Power'!$B106+'Emissions Factors'!$C$37*('Calcs - Power'!$C106+'Calcs - Power'!$D106+'Calcs - Power'!$E106+'Calcs - Power'!$F106))</f>
        <v>1504248.6674839603</v>
      </c>
      <c r="AA107" s="359">
        <f>(102*'Emissions Factors'!$C$36*'Calcs - Power'!$G106+'Emissions Factors'!$C$35*('Calcs - Power'!$H106+'Calcs - Power'!$I106+'Calcs - Power'!$J106+'Calcs - Power'!$K106))</f>
        <v>45848.183182828296</v>
      </c>
      <c r="AB107" s="366">
        <f>(102*'Emissions Factors'!$C$36*'Calcs - Power'!$B106+'Emissions Factors'!$C$35*('Calcs - Power'!$C106+'Calcs - Power'!$D106+'Calcs - Power'!$E106+'Calcs - Power'!$F106))</f>
        <v>2481084.7791764447</v>
      </c>
      <c r="AI107" s="358">
        <f t="shared" si="22"/>
        <v>95</v>
      </c>
      <c r="AJ107" s="359">
        <f>(('Methane Leakage'!$G$6/'Methane Leakage'!$G$5)*102*'Emissions Factors'!$D$10*'Calcs - Power'!$G106+'Emissions Factors'!$D$11*('Calcs - Power'!$H106+'Calcs - Power'!$I106+'Calcs - Power'!$J106+'Calcs - Power'!$K106))</f>
        <v>3597.1135267581562</v>
      </c>
      <c r="AK107" s="366">
        <f>(('Methane Leakage'!$G$6/'Methane Leakage'!$G$5)*102*'Emissions Factors'!$D$10*'Calcs - Power'!$B106+'Emissions Factors'!$D$11*('Calcs - Power'!$C106+'Calcs - Power'!$D106+'Calcs - Power'!$E106+'Calcs - Power'!$F106))</f>
        <v>213877.06340967739</v>
      </c>
      <c r="AL107" s="359">
        <f>(102*'Emissions Factors'!$E$10*'Calcs - Power'!$G106+'Emissions Factors'!$E$11*('Calcs - Power'!H106+'Calcs - Power'!I106+'Calcs - Power'!J106+'Calcs - Power'!K106))</f>
        <v>4093.1573832881645</v>
      </c>
      <c r="AM107" s="366">
        <f>(102*'Emissions Factors'!$E$10*'Calcs - Power'!$B106+'Emissions Factors'!$E$11*('Calcs - Power'!C106+'Calcs - Power'!D106+'Calcs - Power'!E106+'Calcs - Power'!F106))</f>
        <v>222804.01630302661</v>
      </c>
      <c r="AN107" s="359">
        <f>(102*'Emissions Factors'!$D$10*'Calcs - Power'!$G106+'Emissions Factors'!$D$11*('Calcs - Power'!$H106+'Calcs - Power'!$I106+'Calcs - Power'!$J106+'Calcs - Power'!$K106))</f>
        <v>3597.1135267581562</v>
      </c>
      <c r="AO107" s="366">
        <f>(102*'Emissions Factors'!$D$10*'Calcs - Power'!$B106+'Emissions Factors'!$D$11*('Calcs - Power'!$C106+'Calcs - Power'!$D106+'Calcs - Power'!$E106+'Calcs - Power'!$F106))</f>
        <v>213877.06340967739</v>
      </c>
      <c r="AP107" s="367">
        <f>(102*'Emissions Factors'!$E$10*'Calcs - Power'!$G106+'Emissions Factors'!$E$11*('Calcs - Power'!H106+'Calcs - Power'!I106+'Calcs - Power'!J106+'Calcs - Power'!K106))</f>
        <v>4093.1573832881645</v>
      </c>
      <c r="AQ107" s="366">
        <f>(102*'Emissions Factors'!$E$10*'Calcs - Power'!$B106+'Emissions Factors'!$E$11*('Calcs - Power'!C106+'Calcs - Power'!D106+'Calcs - Power'!E106+'Calcs - Power'!F106))</f>
        <v>222804.01630302661</v>
      </c>
      <c r="AS107" s="357"/>
      <c r="AT107" s="357"/>
      <c r="AU107" s="357"/>
      <c r="AV107" s="357"/>
      <c r="AX107" s="358">
        <f t="shared" si="23"/>
        <v>95</v>
      </c>
      <c r="AY107" s="359">
        <f>(('Methane Leakage'!$G$6/'Methane Leakage'!$G$5)*102*'Emissions Factors'!$F$10*'Calcs - Power'!$G106+'Emissions Factors'!$F$11*('Calcs - Power'!$H106+'Calcs - Power'!$I106+'Calcs - Power'!$J106+'Calcs - Power'!$K106))</f>
        <v>4878945.0067660715</v>
      </c>
      <c r="AZ107" s="366">
        <f>(('Methane Leakage'!$G$6/'Methane Leakage'!$G$5)*102*'Emissions Factors'!$F$10*'Calcs - Power'!$B106+'Emissions Factors'!$F$11*('Calcs - Power'!$C106+'Calcs - Power'!$D106+'Calcs - Power'!$E106+'Calcs - Power'!$F106))</f>
        <v>282890764.34135485</v>
      </c>
      <c r="BA107" s="359">
        <f>(102*'Emissions Factors'!$G$10*'Calcs - Power'!$G106+'Emissions Factors'!$G$11*('Calcs - Power'!H106+'Calcs - Power'!I106+'Calcs - Power'!J106+'Calcs - Power'!K106))</f>
        <v>4720905.3843462449</v>
      </c>
      <c r="BB107" s="366">
        <f>(102*'Emissions Factors'!$G$10*'Calcs - Power'!$B106+'Emissions Factors'!$G$11*('Calcs - Power'!C106+'Calcs - Power'!D106+'Calcs - Power'!E106+'Calcs - Power'!F106))</f>
        <v>256186806.96845365</v>
      </c>
      <c r="BC107" s="359">
        <f>(102*'Emissions Factors'!$F$10*'Calcs - Power'!$G106+'Emissions Factors'!$F$11*('Calcs - Power'!$H106+'Calcs - Power'!$I106+'Calcs - Power'!$J106+'Calcs - Power'!$K106))</f>
        <v>4878945.0067660715</v>
      </c>
      <c r="BD107" s="366">
        <f>(102*'Emissions Factors'!$F$10*'Calcs - Power'!$B106+'Emissions Factors'!$F$11*('Calcs - Power'!$C106+'Calcs - Power'!$D106+'Calcs - Power'!$E106+'Calcs - Power'!$F106))</f>
        <v>282890764.34135485</v>
      </c>
      <c r="BE107" s="359">
        <f>(102*'Emissions Factors'!$G$10*'Calcs - Power'!$G106+'Emissions Factors'!$G$11*('Calcs - Power'!H106+'Calcs - Power'!I106+'Calcs - Power'!J106+'Calcs - Power'!K106))</f>
        <v>4720905.3843462449</v>
      </c>
      <c r="BF107" s="366">
        <f>(102*'Emissions Factors'!$G$10*'Calcs - Power'!$B106+'Emissions Factors'!$G$11*('Calcs - Power'!C106+'Calcs - Power'!D106+'Calcs - Power'!E106+'Calcs - Power'!F106))</f>
        <v>256186806.96845365</v>
      </c>
    </row>
    <row r="108" spans="1:58" x14ac:dyDescent="0.3">
      <c r="A108" s="351">
        <f t="shared" si="20"/>
        <v>96</v>
      </c>
      <c r="B108" s="352">
        <f t="shared" si="14"/>
        <v>0.99999999999999989</v>
      </c>
      <c r="C108" s="363">
        <f t="shared" si="15"/>
        <v>1</v>
      </c>
      <c r="D108" s="352">
        <f t="shared" si="16"/>
        <v>1</v>
      </c>
      <c r="E108" s="364">
        <f t="shared" si="17"/>
        <v>1</v>
      </c>
      <c r="F108" s="364">
        <f t="shared" si="18"/>
        <v>1</v>
      </c>
      <c r="G108" s="365">
        <f t="shared" si="19"/>
        <v>1</v>
      </c>
      <c r="P108" s="358">
        <f t="shared" si="21"/>
        <v>96</v>
      </c>
      <c r="Q108" s="359">
        <f>(('Methane Leakage'!$C$6/'Methane Leakage'!$C$5)*102*'Emissions Factors'!$C$38*'Calcs - Power'!$G107+'Emissions Factors'!$C$37*('Calcs - Power'!$H107+'Calcs - Power'!$I107+'Calcs - Power'!$J107+'Calcs - Power'!$K107))</f>
        <v>26078.945687779102</v>
      </c>
      <c r="R108" s="366">
        <f>(('Methane Leakage'!$C$6/'Methane Leakage'!$C$5)*102*'Emissions Factors'!$C$38*'Calcs - Power'!$B107+'Emissions Factors'!$C$37*('Calcs - Power'!$C107+'Calcs - Power'!$D107+'Calcs - Power'!$E107+'Calcs - Power'!$F107))</f>
        <v>1530239.9797035742</v>
      </c>
      <c r="S108" s="359">
        <f>(('Methane Leakage'!$C$6/'Methane Leakage'!$C$5)*102*'Emissions Factors'!$D$38*'Calcs - Power'!$G107+'Emissions Factors'!$D$37*('Calcs - Power'!$H107+'Calcs - Power'!$I107+'Calcs - Power'!$J107+'Calcs - Power'!$K107))</f>
        <v>26078.945687779102</v>
      </c>
      <c r="T108" s="366">
        <f>(('Methane Leakage'!$C$6/'Methane Leakage'!$C$5)*102*'Emissions Factors'!$D$38*'Calcs - Power'!$B107+'Emissions Factors'!$D$37*('Calcs - Power'!$C107+'Calcs - Power'!$D107+'Calcs - Power'!$E107+'Calcs - Power'!$F107))</f>
        <v>1530239.9797035742</v>
      </c>
      <c r="U108" s="361">
        <f>(102*'Emissions Factors'!$C$36*'Calcs - Power'!$G107+'Emissions Factors'!$C$35*('Calcs - Power'!$H107+'Calcs - Power'!$I107+'Calcs - Power'!$J107+'Calcs - Power'!$K107))</f>
        <v>46207.503815146774</v>
      </c>
      <c r="V108" s="366">
        <f>(102*'Emissions Factors'!$C$36*'Calcs - Power'!$B107+'Emissions Factors'!$C$35*('Calcs - Power'!$C107+'Calcs - Power'!$D107+'Calcs - Power'!$E107+'Calcs - Power'!$F107))</f>
        <v>2527112.7015529019</v>
      </c>
      <c r="W108" s="359">
        <f>(102*'Emissions Factors'!$D$36*'Calcs - Power'!$G107+'Emissions Factors'!$D$35*('Calcs - Power'!$H107+'Calcs - Power'!$I107+'Calcs - Power'!$J107+'Calcs - Power'!$K107))</f>
        <v>46207.503815146774</v>
      </c>
      <c r="X108" s="366">
        <f>(102*'Emissions Factors'!$D$36*'Calcs - Power'!$B107+'Emissions Factors'!$D$35*('Calcs - Power'!$C107+'Calcs - Power'!$D107+'Calcs - Power'!$E107+'Calcs - Power'!$F107))</f>
        <v>2527112.7015529019</v>
      </c>
      <c r="Y108" s="359">
        <f>(102*'Emissions Factors'!$C$38*'Calcs - Power'!$G107+'Emissions Factors'!$C$37*('Calcs - Power'!$H107+'Calcs - Power'!$I107+'Calcs - Power'!$J107+'Calcs - Power'!$K107))</f>
        <v>26078.945687779102</v>
      </c>
      <c r="Z108" s="366">
        <f>(102*'Emissions Factors'!$C$38*'Calcs - Power'!$B107+'Emissions Factors'!$C$37*('Calcs - Power'!$C107+'Calcs - Power'!$D107+'Calcs - Power'!$E107+'Calcs - Power'!$F107))</f>
        <v>1530239.9797035742</v>
      </c>
      <c r="AA108" s="359">
        <f>(102*'Emissions Factors'!$C$36*'Calcs - Power'!$G107+'Emissions Factors'!$C$35*('Calcs - Power'!$H107+'Calcs - Power'!$I107+'Calcs - Power'!$J107+'Calcs - Power'!$K107))</f>
        <v>46207.503815146774</v>
      </c>
      <c r="AB108" s="366">
        <f>(102*'Emissions Factors'!$C$36*'Calcs - Power'!$B107+'Emissions Factors'!$C$35*('Calcs - Power'!$C107+'Calcs - Power'!$D107+'Calcs - Power'!$E107+'Calcs - Power'!$F107))</f>
        <v>2527112.7015529019</v>
      </c>
      <c r="AI108" s="358">
        <f t="shared" si="22"/>
        <v>96</v>
      </c>
      <c r="AJ108" s="359">
        <f>(('Methane Leakage'!$G$6/'Methane Leakage'!$G$5)*102*'Emissions Factors'!$D$10*'Calcs - Power'!$G107+'Emissions Factors'!$D$11*('Calcs - Power'!$H107+'Calcs - Power'!$I107+'Calcs - Power'!$J107+'Calcs - Power'!$K107))</f>
        <v>3620.1159332351763</v>
      </c>
      <c r="AK108" s="366">
        <f>(('Methane Leakage'!$G$6/'Methane Leakage'!$G$5)*102*'Emissions Factors'!$D$10*'Calcs - Power'!$B107+'Emissions Factors'!$D$11*('Calcs - Power'!$C107+'Calcs - Power'!$D107+'Calcs - Power'!$E107+'Calcs - Power'!$F107))</f>
        <v>217485.68331944296</v>
      </c>
      <c r="AL108" s="359">
        <f>(102*'Emissions Factors'!$E$10*'Calcs - Power'!$G107+'Emissions Factors'!$E$11*('Calcs - Power'!H107+'Calcs - Power'!I107+'Calcs - Power'!J107+'Calcs - Power'!K107))</f>
        <v>4124.8847117713631</v>
      </c>
      <c r="AM108" s="366">
        <f>(102*'Emissions Factors'!$E$10*'Calcs - Power'!$B107+'Emissions Factors'!$E$11*('Calcs - Power'!C107+'Calcs - Power'!D107+'Calcs - Power'!E107+'Calcs - Power'!F107))</f>
        <v>226913.04432411492</v>
      </c>
      <c r="AN108" s="359">
        <f>(102*'Emissions Factors'!$D$10*'Calcs - Power'!$G107+'Emissions Factors'!$D$11*('Calcs - Power'!$H107+'Calcs - Power'!$I107+'Calcs - Power'!$J107+'Calcs - Power'!$K107))</f>
        <v>3620.1159332351763</v>
      </c>
      <c r="AO108" s="366">
        <f>(102*'Emissions Factors'!$D$10*'Calcs - Power'!$B107+'Emissions Factors'!$D$11*('Calcs - Power'!$C107+'Calcs - Power'!$D107+'Calcs - Power'!$E107+'Calcs - Power'!$F107))</f>
        <v>217485.68331944296</v>
      </c>
      <c r="AP108" s="367">
        <f>(102*'Emissions Factors'!$E$10*'Calcs - Power'!$G107+'Emissions Factors'!$E$11*('Calcs - Power'!H107+'Calcs - Power'!I107+'Calcs - Power'!J107+'Calcs - Power'!K107))</f>
        <v>4124.8847117713631</v>
      </c>
      <c r="AQ108" s="366">
        <f>(102*'Emissions Factors'!$E$10*'Calcs - Power'!$B107+'Emissions Factors'!$E$11*('Calcs - Power'!C107+'Calcs - Power'!D107+'Calcs - Power'!E107+'Calcs - Power'!F107))</f>
        <v>226913.04432411492</v>
      </c>
      <c r="AS108" s="357"/>
      <c r="AT108" s="357"/>
      <c r="AU108" s="357"/>
      <c r="AV108" s="357"/>
      <c r="AX108" s="358">
        <f t="shared" si="23"/>
        <v>96</v>
      </c>
      <c r="AY108" s="359">
        <f>(('Methane Leakage'!$G$6/'Methane Leakage'!$G$5)*102*'Emissions Factors'!$F$10*'Calcs - Power'!$G107+'Emissions Factors'!$F$11*('Calcs - Power'!$H107+'Calcs - Power'!$I107+'Calcs - Power'!$J107+'Calcs - Power'!$K107))</f>
        <v>4912088.6419303883</v>
      </c>
      <c r="AZ108" s="366">
        <f>(('Methane Leakage'!$G$6/'Methane Leakage'!$G$5)*102*'Emissions Factors'!$F$10*'Calcs - Power'!$B107+'Emissions Factors'!$F$11*('Calcs - Power'!$C107+'Calcs - Power'!$D107+'Calcs - Power'!$E107+'Calcs - Power'!$F107))</f>
        <v>287786288.56926471</v>
      </c>
      <c r="BA108" s="359">
        <f>(102*'Emissions Factors'!$G$10*'Calcs - Power'!$G107+'Emissions Factors'!$G$11*('Calcs - Power'!H107+'Calcs - Power'!I107+'Calcs - Power'!J107+'Calcs - Power'!K107))</f>
        <v>4757711.2268361254</v>
      </c>
      <c r="BB108" s="366">
        <f>(102*'Emissions Factors'!$G$10*'Calcs - Power'!$B107+'Emissions Factors'!$G$11*('Calcs - Power'!C107+'Calcs - Power'!D107+'Calcs - Power'!E107+'Calcs - Power'!F107))</f>
        <v>260926123.35844359</v>
      </c>
      <c r="BC108" s="359">
        <f>(102*'Emissions Factors'!$F$10*'Calcs - Power'!$G107+'Emissions Factors'!$F$11*('Calcs - Power'!$H107+'Calcs - Power'!$I107+'Calcs - Power'!$J107+'Calcs - Power'!$K107))</f>
        <v>4912088.6419303883</v>
      </c>
      <c r="BD108" s="366">
        <f>(102*'Emissions Factors'!$F$10*'Calcs - Power'!$B107+'Emissions Factors'!$F$11*('Calcs - Power'!$C107+'Calcs - Power'!$D107+'Calcs - Power'!$E107+'Calcs - Power'!$F107))</f>
        <v>287786288.56926471</v>
      </c>
      <c r="BE108" s="359">
        <f>(102*'Emissions Factors'!$G$10*'Calcs - Power'!$G107+'Emissions Factors'!$G$11*('Calcs - Power'!H107+'Calcs - Power'!I107+'Calcs - Power'!J107+'Calcs - Power'!K107))</f>
        <v>4757711.2268361254</v>
      </c>
      <c r="BF108" s="366">
        <f>(102*'Emissions Factors'!$G$10*'Calcs - Power'!$B107+'Emissions Factors'!$G$11*('Calcs - Power'!C107+'Calcs - Power'!D107+'Calcs - Power'!E107+'Calcs - Power'!F107))</f>
        <v>260926123.35844359</v>
      </c>
    </row>
    <row r="109" spans="1:58" x14ac:dyDescent="0.3">
      <c r="A109" s="351">
        <f t="shared" si="20"/>
        <v>97</v>
      </c>
      <c r="B109" s="352">
        <f t="shared" si="14"/>
        <v>1</v>
      </c>
      <c r="C109" s="363">
        <f t="shared" si="15"/>
        <v>0.99999999999999989</v>
      </c>
      <c r="D109" s="352">
        <f t="shared" si="16"/>
        <v>1</v>
      </c>
      <c r="E109" s="364">
        <f t="shared" si="17"/>
        <v>1</v>
      </c>
      <c r="F109" s="364">
        <f t="shared" si="18"/>
        <v>1</v>
      </c>
      <c r="G109" s="365">
        <f t="shared" si="19"/>
        <v>1</v>
      </c>
      <c r="P109" s="358">
        <f t="shared" si="21"/>
        <v>97</v>
      </c>
      <c r="Q109" s="359">
        <f>(('Methane Leakage'!$C$6/'Methane Leakage'!$C$5)*102*'Emissions Factors'!$C$38*'Calcs - Power'!$G108+'Emissions Factors'!$C$37*('Calcs - Power'!$H108+'Calcs - Power'!$I108+'Calcs - Power'!$J108+'Calcs - Power'!$K108))</f>
        <v>26253.823662132894</v>
      </c>
      <c r="R109" s="366">
        <f>(('Methane Leakage'!$C$6/'Methane Leakage'!$C$5)*102*'Emissions Factors'!$C$38*'Calcs - Power'!$B108+'Emissions Factors'!$C$37*('Calcs - Power'!$C108+'Calcs - Power'!$D108+'Calcs - Power'!$E108+'Calcs - Power'!$F108))</f>
        <v>1556406.403083744</v>
      </c>
      <c r="S109" s="359">
        <f>(('Methane Leakage'!$C$6/'Methane Leakage'!$C$5)*102*'Emissions Factors'!$D$38*'Calcs - Power'!$G108+'Emissions Factors'!$D$37*('Calcs - Power'!$H108+'Calcs - Power'!$I108+'Calcs - Power'!$J108+'Calcs - Power'!$K108))</f>
        <v>26253.823662132894</v>
      </c>
      <c r="T109" s="366">
        <f>(('Methane Leakage'!$C$6/'Methane Leakage'!$C$5)*102*'Emissions Factors'!$D$38*'Calcs - Power'!$B108+'Emissions Factors'!$D$37*('Calcs - Power'!$C108+'Calcs - Power'!$D108+'Calcs - Power'!$E108+'Calcs - Power'!$F108))</f>
        <v>1556406.403083744</v>
      </c>
      <c r="U109" s="361">
        <f>(102*'Emissions Factors'!$C$36*'Calcs - Power'!$G108+'Emissions Factors'!$C$35*('Calcs - Power'!$H108+'Calcs - Power'!$I108+'Calcs - Power'!$J108+'Calcs - Power'!$K108))</f>
        <v>46565.883153526724</v>
      </c>
      <c r="V109" s="366">
        <f>(102*'Emissions Factors'!$C$36*'Calcs - Power'!$B108+'Emissions Factors'!$C$35*('Calcs - Power'!$C108+'Calcs - Power'!$D108+'Calcs - Power'!$E108+'Calcs - Power'!$F108))</f>
        <v>2573499.4730458092</v>
      </c>
      <c r="W109" s="359">
        <f>(102*'Emissions Factors'!$D$36*'Calcs - Power'!$G108+'Emissions Factors'!$D$35*('Calcs - Power'!$H108+'Calcs - Power'!$I108+'Calcs - Power'!$J108+'Calcs - Power'!$K108))</f>
        <v>46565.883153526724</v>
      </c>
      <c r="X109" s="366">
        <f>(102*'Emissions Factors'!$D$36*'Calcs - Power'!$B108+'Emissions Factors'!$D$35*('Calcs - Power'!$C108+'Calcs - Power'!$D108+'Calcs - Power'!$E108+'Calcs - Power'!$F108))</f>
        <v>2573499.4730458092</v>
      </c>
      <c r="Y109" s="359">
        <f>(102*'Emissions Factors'!$C$38*'Calcs - Power'!$G108+'Emissions Factors'!$C$37*('Calcs - Power'!$H108+'Calcs - Power'!$I108+'Calcs - Power'!$J108+'Calcs - Power'!$K108))</f>
        <v>26253.823662132894</v>
      </c>
      <c r="Z109" s="366">
        <f>(102*'Emissions Factors'!$C$38*'Calcs - Power'!$B108+'Emissions Factors'!$C$37*('Calcs - Power'!$C108+'Calcs - Power'!$D108+'Calcs - Power'!$E108+'Calcs - Power'!$F108))</f>
        <v>1556406.403083744</v>
      </c>
      <c r="AA109" s="359">
        <f>(102*'Emissions Factors'!$C$36*'Calcs - Power'!$G108+'Emissions Factors'!$C$35*('Calcs - Power'!$H108+'Calcs - Power'!$I108+'Calcs - Power'!$J108+'Calcs - Power'!$K108))</f>
        <v>46565.883153526724</v>
      </c>
      <c r="AB109" s="366">
        <f>(102*'Emissions Factors'!$C$36*'Calcs - Power'!$B108+'Emissions Factors'!$C$35*('Calcs - Power'!$C108+'Calcs - Power'!$D108+'Calcs - Power'!$E108+'Calcs - Power'!$F108))</f>
        <v>2573499.4730458092</v>
      </c>
      <c r="AI109" s="358">
        <f t="shared" si="22"/>
        <v>97</v>
      </c>
      <c r="AJ109" s="359">
        <f>(('Methane Leakage'!$G$6/'Methane Leakage'!$G$5)*102*'Emissions Factors'!$D$10*'Calcs - Power'!$G108+'Emissions Factors'!$D$11*('Calcs - Power'!$H108+'Calcs - Power'!$I108+'Calcs - Power'!$J108+'Calcs - Power'!$K108))</f>
        <v>3643.0565826498928</v>
      </c>
      <c r="AK109" s="366">
        <f>(('Methane Leakage'!$G$6/'Methane Leakage'!$G$5)*102*'Emissions Factors'!$D$10*'Calcs - Power'!$B108+'Emissions Factors'!$D$11*('Calcs - Power'!$C108+'Calcs - Power'!$D108+'Calcs - Power'!$E108+'Calcs - Power'!$F108))</f>
        <v>221117.27469081763</v>
      </c>
      <c r="AL109" s="359">
        <f>(102*'Emissions Factors'!$E$10*'Calcs - Power'!$G108+'Emissions Factors'!$E$11*('Calcs - Power'!H108+'Calcs - Power'!I108+'Calcs - Power'!J108+'Calcs - Power'!K108))</f>
        <v>4156.5288242573397</v>
      </c>
      <c r="AM109" s="366">
        <f>(102*'Emissions Factors'!$E$10*'Calcs - Power'!$B108+'Emissions Factors'!$E$11*('Calcs - Power'!C108+'Calcs - Power'!D108+'Calcs - Power'!E108+'Calcs - Power'!F108))</f>
        <v>231053.75798823993</v>
      </c>
      <c r="AN109" s="359">
        <f>(102*'Emissions Factors'!$D$10*'Calcs - Power'!$G108+'Emissions Factors'!$D$11*('Calcs - Power'!$H108+'Calcs - Power'!$I108+'Calcs - Power'!$J108+'Calcs - Power'!$K108))</f>
        <v>3643.0565826498928</v>
      </c>
      <c r="AO109" s="366">
        <f>(102*'Emissions Factors'!$D$10*'Calcs - Power'!$B108+'Emissions Factors'!$D$11*('Calcs - Power'!$C108+'Calcs - Power'!$D108+'Calcs - Power'!$E108+'Calcs - Power'!$F108))</f>
        <v>221117.27469081763</v>
      </c>
      <c r="AP109" s="367">
        <f>(102*'Emissions Factors'!$E$10*'Calcs - Power'!$G108+'Emissions Factors'!$E$11*('Calcs - Power'!H108+'Calcs - Power'!I108+'Calcs - Power'!J108+'Calcs - Power'!K108))</f>
        <v>4156.5288242573397</v>
      </c>
      <c r="AQ109" s="366">
        <f>(102*'Emissions Factors'!$E$10*'Calcs - Power'!$B108+'Emissions Factors'!$E$11*('Calcs - Power'!C108+'Calcs - Power'!D108+'Calcs - Power'!E108+'Calcs - Power'!F108))</f>
        <v>231053.75798823993</v>
      </c>
      <c r="AS109" s="357"/>
      <c r="AT109" s="357"/>
      <c r="AU109" s="357"/>
      <c r="AV109" s="357"/>
      <c r="AX109" s="358">
        <f t="shared" si="23"/>
        <v>97</v>
      </c>
      <c r="AY109" s="359">
        <f>(('Methane Leakage'!$G$6/'Methane Leakage'!$G$5)*102*'Emissions Factors'!$F$10*'Calcs - Power'!$G108+'Emissions Factors'!$F$11*('Calcs - Power'!$H108+'Calcs - Power'!$I108+'Calcs - Power'!$J108+'Calcs - Power'!$K108))</f>
        <v>4945143.9810950011</v>
      </c>
      <c r="AZ109" s="366">
        <f>(('Methane Leakage'!$G$6/'Methane Leakage'!$G$5)*102*'Emissions Factors'!$F$10*'Calcs - Power'!$B108+'Emissions Factors'!$F$11*('Calcs - Power'!$C108+'Calcs - Power'!$D108+'Calcs - Power'!$E108+'Calcs - Power'!$F108))</f>
        <v>292714912.19367576</v>
      </c>
      <c r="BA109" s="359">
        <f>(102*'Emissions Factors'!$G$10*'Calcs - Power'!$G108+'Emissions Factors'!$G$11*('Calcs - Power'!H108+'Calcs - Power'!I108+'Calcs - Power'!J108+'Calcs - Power'!K108))</f>
        <v>4794420.5952570792</v>
      </c>
      <c r="BB109" s="366">
        <f>(102*'Emissions Factors'!$G$10*'Calcs - Power'!$B108+'Emissions Factors'!$G$11*('Calcs - Power'!C108+'Calcs - Power'!D108+'Calcs - Power'!E108+'Calcs - Power'!F108))</f>
        <v>265702197.26448813</v>
      </c>
      <c r="BC109" s="359">
        <f>(102*'Emissions Factors'!$F$10*'Calcs - Power'!$G108+'Emissions Factors'!$F$11*('Calcs - Power'!$H108+'Calcs - Power'!$I108+'Calcs - Power'!$J108+'Calcs - Power'!$K108))</f>
        <v>4945143.9810950011</v>
      </c>
      <c r="BD109" s="366">
        <f>(102*'Emissions Factors'!$F$10*'Calcs - Power'!$B108+'Emissions Factors'!$F$11*('Calcs - Power'!$C108+'Calcs - Power'!$D108+'Calcs - Power'!$E108+'Calcs - Power'!$F108))</f>
        <v>292714912.19367576</v>
      </c>
      <c r="BE109" s="359">
        <f>(102*'Emissions Factors'!$G$10*'Calcs - Power'!$G108+'Emissions Factors'!$G$11*('Calcs - Power'!H108+'Calcs - Power'!I108+'Calcs - Power'!J108+'Calcs - Power'!K108))</f>
        <v>4794420.5952570792</v>
      </c>
      <c r="BF109" s="366">
        <f>(102*'Emissions Factors'!$G$10*'Calcs - Power'!$B108+'Emissions Factors'!$G$11*('Calcs - Power'!C108+'Calcs - Power'!D108+'Calcs - Power'!E108+'Calcs - Power'!F108))</f>
        <v>265702197.26448813</v>
      </c>
    </row>
    <row r="110" spans="1:58" x14ac:dyDescent="0.3">
      <c r="A110" s="351">
        <f t="shared" si="20"/>
        <v>98</v>
      </c>
      <c r="B110" s="352">
        <f t="shared" si="14"/>
        <v>0.99999999999999989</v>
      </c>
      <c r="C110" s="363">
        <f t="shared" si="15"/>
        <v>0.99999999999999989</v>
      </c>
      <c r="D110" s="352">
        <f t="shared" si="16"/>
        <v>1</v>
      </c>
      <c r="E110" s="364">
        <f t="shared" si="17"/>
        <v>1</v>
      </c>
      <c r="F110" s="364">
        <f t="shared" si="18"/>
        <v>1</v>
      </c>
      <c r="G110" s="365">
        <f t="shared" si="19"/>
        <v>1</v>
      </c>
      <c r="P110" s="358">
        <f t="shared" si="21"/>
        <v>98</v>
      </c>
      <c r="Q110" s="359">
        <f>(('Methane Leakage'!$C$6/'Methane Leakage'!$C$5)*102*'Emissions Factors'!$C$38*'Calcs - Power'!$G109+'Emissions Factors'!$C$37*('Calcs - Power'!$H109+'Calcs - Power'!$I109+'Calcs - Power'!$J109+'Calcs - Power'!$K109))</f>
        <v>26428.239967531103</v>
      </c>
      <c r="R110" s="366">
        <f>(('Methane Leakage'!$C$6/'Methane Leakage'!$C$5)*102*'Emissions Factors'!$C$38*'Calcs - Power'!$B109+'Emissions Factors'!$C$37*('Calcs - Power'!$C109+'Calcs - Power'!$D109+'Calcs - Power'!$E109+'Calcs - Power'!$F109))</f>
        <v>1582747.4731404968</v>
      </c>
      <c r="S110" s="359">
        <f>(('Methane Leakage'!$C$6/'Methane Leakage'!$C$5)*102*'Emissions Factors'!$D$38*'Calcs - Power'!$G109+'Emissions Factors'!$D$37*('Calcs - Power'!$H109+'Calcs - Power'!$I109+'Calcs - Power'!$J109+'Calcs - Power'!$K109))</f>
        <v>26428.239967531103</v>
      </c>
      <c r="T110" s="366">
        <f>(('Methane Leakage'!$C$6/'Methane Leakage'!$C$5)*102*'Emissions Factors'!$D$38*'Calcs - Power'!$B109+'Emissions Factors'!$D$37*('Calcs - Power'!$C109+'Calcs - Power'!$D109+'Calcs - Power'!$E109+'Calcs - Power'!$F109))</f>
        <v>1582747.4731404968</v>
      </c>
      <c r="U110" s="361">
        <f>(102*'Emissions Factors'!$C$36*'Calcs - Power'!$G109+'Emissions Factors'!$C$35*('Calcs - Power'!$H109+'Calcs - Power'!$I109+'Calcs - Power'!$J109+'Calcs - Power'!$K109))</f>
        <v>46923.331460571018</v>
      </c>
      <c r="V110" s="366">
        <f>(102*'Emissions Factors'!$C$36*'Calcs - Power'!$B109+'Emissions Factors'!$C$35*('Calcs - Power'!$C109+'Calcs - Power'!$D109+'Calcs - Power'!$E109+'Calcs - Power'!$F109))</f>
        <v>2620244.1575197079</v>
      </c>
      <c r="W110" s="359">
        <f>(102*'Emissions Factors'!$D$36*'Calcs - Power'!$G109+'Emissions Factors'!$D$35*('Calcs - Power'!$H109+'Calcs - Power'!$I109+'Calcs - Power'!$J109+'Calcs - Power'!$K109))</f>
        <v>46923.331460571018</v>
      </c>
      <c r="X110" s="366">
        <f>(102*'Emissions Factors'!$D$36*'Calcs - Power'!$B109+'Emissions Factors'!$D$35*('Calcs - Power'!$C109+'Calcs - Power'!$D109+'Calcs - Power'!$E109+'Calcs - Power'!$F109))</f>
        <v>2620244.1575197079</v>
      </c>
      <c r="Y110" s="359">
        <f>(102*'Emissions Factors'!$C$38*'Calcs - Power'!$G109+'Emissions Factors'!$C$37*('Calcs - Power'!$H109+'Calcs - Power'!$I109+'Calcs - Power'!$J109+'Calcs - Power'!$K109))</f>
        <v>26428.239967531103</v>
      </c>
      <c r="Z110" s="366">
        <f>(102*'Emissions Factors'!$C$38*'Calcs - Power'!$B109+'Emissions Factors'!$C$37*('Calcs - Power'!$C109+'Calcs - Power'!$D109+'Calcs - Power'!$E109+'Calcs - Power'!$F109))</f>
        <v>1582747.4731404968</v>
      </c>
      <c r="AA110" s="359">
        <f>(102*'Emissions Factors'!$C$36*'Calcs - Power'!$G109+'Emissions Factors'!$C$35*('Calcs - Power'!$H109+'Calcs - Power'!$I109+'Calcs - Power'!$J109+'Calcs - Power'!$K109))</f>
        <v>46923.331460571018</v>
      </c>
      <c r="AB110" s="366">
        <f>(102*'Emissions Factors'!$C$36*'Calcs - Power'!$B109+'Emissions Factors'!$C$35*('Calcs - Power'!$C109+'Calcs - Power'!$D109+'Calcs - Power'!$E109+'Calcs - Power'!$F109))</f>
        <v>2620244.1575197079</v>
      </c>
      <c r="AI110" s="358">
        <f t="shared" si="22"/>
        <v>98</v>
      </c>
      <c r="AJ110" s="359">
        <f>(('Methane Leakage'!$G$6/'Methane Leakage'!$G$5)*102*'Emissions Factors'!$D$10*'Calcs - Power'!$G109+'Emissions Factors'!$D$11*('Calcs - Power'!$H109+'Calcs - Power'!$I109+'Calcs - Power'!$J109+'Calcs - Power'!$K109))</f>
        <v>3665.9362553227829</v>
      </c>
      <c r="AK110" s="366">
        <f>(('Methane Leakage'!$G$6/'Methane Leakage'!$G$5)*102*'Emissions Factors'!$D$10*'Calcs - Power'!$B109+'Emissions Factors'!$D$11*('Calcs - Power'!$C109+'Calcs - Power'!$D109+'Calcs - Power'!$E109+'Calcs - Power'!$F109))</f>
        <v>224771.77615949797</v>
      </c>
      <c r="AL110" s="359">
        <f>(102*'Emissions Factors'!$E$10*'Calcs - Power'!$G109+'Emissions Factors'!$E$11*('Calcs - Power'!H109+'Calcs - Power'!I109+'Calcs - Power'!J109+'Calcs - Power'!K109))</f>
        <v>4188.0906352700003</v>
      </c>
      <c r="AM110" s="366">
        <f>(102*'Emissions Factors'!$E$10*'Calcs - Power'!$B109+'Emissions Factors'!$E$11*('Calcs - Power'!C109+'Calcs - Power'!D109+'Calcs - Power'!E109+'Calcs - Power'!F109))</f>
        <v>235226.07453912438</v>
      </c>
      <c r="AN110" s="359">
        <f>(102*'Emissions Factors'!$D$10*'Calcs - Power'!$G109+'Emissions Factors'!$D$11*('Calcs - Power'!$H109+'Calcs - Power'!$I109+'Calcs - Power'!$J109+'Calcs - Power'!$K109))</f>
        <v>3665.9362553227829</v>
      </c>
      <c r="AO110" s="366">
        <f>(102*'Emissions Factors'!$D$10*'Calcs - Power'!$B109+'Emissions Factors'!$D$11*('Calcs - Power'!$C109+'Calcs - Power'!$D109+'Calcs - Power'!$E109+'Calcs - Power'!$F109))</f>
        <v>224771.77615949797</v>
      </c>
      <c r="AP110" s="367">
        <f>(102*'Emissions Factors'!$E$10*'Calcs - Power'!$G109+'Emissions Factors'!$E$11*('Calcs - Power'!H109+'Calcs - Power'!I109+'Calcs - Power'!J109+'Calcs - Power'!K109))</f>
        <v>4188.0906352700003</v>
      </c>
      <c r="AQ110" s="366">
        <f>(102*'Emissions Factors'!$E$10*'Calcs - Power'!$B109+'Emissions Factors'!$E$11*('Calcs - Power'!C109+'Calcs - Power'!D109+'Calcs - Power'!E109+'Calcs - Power'!F109))</f>
        <v>235226.07453912438</v>
      </c>
      <c r="AS110" s="357"/>
      <c r="AT110" s="357"/>
      <c r="AU110" s="357"/>
      <c r="AV110" s="357"/>
      <c r="AX110" s="358">
        <f t="shared" si="23"/>
        <v>98</v>
      </c>
      <c r="AY110" s="359">
        <f>(('Methane Leakage'!$G$6/'Methane Leakage'!$G$5)*102*'Emissions Factors'!$F$10*'Calcs - Power'!$G109+'Emissions Factors'!$F$11*('Calcs - Power'!$H109+'Calcs - Power'!$I109+'Calcs - Power'!$J109+'Calcs - Power'!$K109))</f>
        <v>4978112.0919603892</v>
      </c>
      <c r="AZ110" s="366">
        <f>(('Methane Leakage'!$G$6/'Methane Leakage'!$G$5)*102*'Emissions Factors'!$F$10*'Calcs - Power'!$B109+'Emissions Factors'!$F$11*('Calcs - Power'!$C109+'Calcs - Power'!$D109+'Calcs - Power'!$E109+'Calcs - Power'!$F109))</f>
        <v>297676547.45578843</v>
      </c>
      <c r="BA110" s="359">
        <f>(102*'Emissions Factors'!$G$10*'Calcs - Power'!$G109+'Emissions Factors'!$G$11*('Calcs - Power'!H109+'Calcs - Power'!I109+'Calcs - Power'!J109+'Calcs - Power'!K109))</f>
        <v>4831034.545407692</v>
      </c>
      <c r="BB110" s="366">
        <f>(102*'Emissions Factors'!$G$10*'Calcs - Power'!$B109+'Emissions Factors'!$G$11*('Calcs - Power'!C109+'Calcs - Power'!D109+'Calcs - Power'!E109+'Calcs - Power'!F109))</f>
        <v>270514932.74323338</v>
      </c>
      <c r="BC110" s="359">
        <f>(102*'Emissions Factors'!$F$10*'Calcs - Power'!$G109+'Emissions Factors'!$F$11*('Calcs - Power'!$H109+'Calcs - Power'!$I109+'Calcs - Power'!$J109+'Calcs - Power'!$K109))</f>
        <v>4978112.0919603892</v>
      </c>
      <c r="BD110" s="366">
        <f>(102*'Emissions Factors'!$F$10*'Calcs - Power'!$B109+'Emissions Factors'!$F$11*('Calcs - Power'!$C109+'Calcs - Power'!$D109+'Calcs - Power'!$E109+'Calcs - Power'!$F109))</f>
        <v>297676547.45578843</v>
      </c>
      <c r="BE110" s="359">
        <f>(102*'Emissions Factors'!$G$10*'Calcs - Power'!$G109+'Emissions Factors'!$G$11*('Calcs - Power'!H109+'Calcs - Power'!I109+'Calcs - Power'!J109+'Calcs - Power'!K109))</f>
        <v>4831034.545407692</v>
      </c>
      <c r="BF110" s="366">
        <f>(102*'Emissions Factors'!$G$10*'Calcs - Power'!$B109+'Emissions Factors'!$G$11*('Calcs - Power'!C109+'Calcs - Power'!D109+'Calcs - Power'!E109+'Calcs - Power'!F109))</f>
        <v>270514932.74323338</v>
      </c>
    </row>
    <row r="111" spans="1:58" x14ac:dyDescent="0.3">
      <c r="A111" s="351">
        <f t="shared" si="20"/>
        <v>99</v>
      </c>
      <c r="B111" s="352">
        <f t="shared" si="14"/>
        <v>0.99999999999999989</v>
      </c>
      <c r="C111" s="363">
        <f t="shared" si="15"/>
        <v>1</v>
      </c>
      <c r="D111" s="352">
        <f t="shared" si="16"/>
        <v>1</v>
      </c>
      <c r="E111" s="364">
        <f t="shared" si="17"/>
        <v>1</v>
      </c>
      <c r="F111" s="364">
        <f t="shared" si="18"/>
        <v>1</v>
      </c>
      <c r="G111" s="365">
        <f t="shared" si="19"/>
        <v>1</v>
      </c>
      <c r="P111" s="358">
        <f t="shared" si="21"/>
        <v>99</v>
      </c>
      <c r="Q111" s="359">
        <f>(('Methane Leakage'!$C$6/'Methane Leakage'!$C$5)*102*'Emissions Factors'!$C$38*'Calcs - Power'!$G110+'Emissions Factors'!$C$37*('Calcs - Power'!$H110+'Calcs - Power'!$I110+'Calcs - Power'!$J110+'Calcs - Power'!$K110))</f>
        <v>26602.200061815285</v>
      </c>
      <c r="R111" s="366">
        <f>(('Methane Leakage'!$C$6/'Methane Leakage'!$C$5)*102*'Emissions Factors'!$C$38*'Calcs - Power'!$B110+'Emissions Factors'!$C$37*('Calcs - Power'!$C110+'Calcs - Power'!$D110+'Calcs - Power'!$E110+'Calcs - Power'!$F110))</f>
        <v>1609262.7309506112</v>
      </c>
      <c r="S111" s="359">
        <f>(('Methane Leakage'!$C$6/'Methane Leakage'!$C$5)*102*'Emissions Factors'!$D$38*'Calcs - Power'!$G110+'Emissions Factors'!$D$37*('Calcs - Power'!$H110+'Calcs - Power'!$I110+'Calcs - Power'!$J110+'Calcs - Power'!$K110))</f>
        <v>26602.200061815285</v>
      </c>
      <c r="T111" s="366">
        <f>(('Methane Leakage'!$C$6/'Methane Leakage'!$C$5)*102*'Emissions Factors'!$D$38*'Calcs - Power'!$B110+'Emissions Factors'!$D$37*('Calcs - Power'!$C110+'Calcs - Power'!$D110+'Calcs - Power'!$E110+'Calcs - Power'!$F110))</f>
        <v>1609262.7309506112</v>
      </c>
      <c r="U111" s="361">
        <f>(102*'Emissions Factors'!$C$36*'Calcs - Power'!$G110+'Emissions Factors'!$C$35*('Calcs - Power'!$H110+'Calcs - Power'!$I110+'Calcs - Power'!$J110+'Calcs - Power'!$K110))</f>
        <v>47279.858680948768</v>
      </c>
      <c r="V111" s="366">
        <f>(102*'Emissions Factors'!$C$36*'Calcs - Power'!$B110+'Emissions Factors'!$C$35*('Calcs - Power'!$C110+'Calcs - Power'!$D110+'Calcs - Power'!$E110+'Calcs - Power'!$F110))</f>
        <v>2667345.8289414183</v>
      </c>
      <c r="W111" s="359">
        <f>(102*'Emissions Factors'!$D$36*'Calcs - Power'!$G110+'Emissions Factors'!$D$35*('Calcs - Power'!$H110+'Calcs - Power'!$I110+'Calcs - Power'!$J110+'Calcs - Power'!$K110))</f>
        <v>47279.858680948768</v>
      </c>
      <c r="X111" s="366">
        <f>(102*'Emissions Factors'!$D$36*'Calcs - Power'!$B110+'Emissions Factors'!$D$35*('Calcs - Power'!$C110+'Calcs - Power'!$D110+'Calcs - Power'!$E110+'Calcs - Power'!$F110))</f>
        <v>2667345.8289414183</v>
      </c>
      <c r="Y111" s="359">
        <f>(102*'Emissions Factors'!$C$38*'Calcs - Power'!$G110+'Emissions Factors'!$C$37*('Calcs - Power'!$H110+'Calcs - Power'!$I110+'Calcs - Power'!$J110+'Calcs - Power'!$K110))</f>
        <v>26602.200061815285</v>
      </c>
      <c r="Z111" s="366">
        <f>(102*'Emissions Factors'!$C$38*'Calcs - Power'!$B110+'Emissions Factors'!$C$37*('Calcs - Power'!$C110+'Calcs - Power'!$D110+'Calcs - Power'!$E110+'Calcs - Power'!$F110))</f>
        <v>1609262.7309506112</v>
      </c>
      <c r="AA111" s="359">
        <f>(102*'Emissions Factors'!$C$36*'Calcs - Power'!$G110+'Emissions Factors'!$C$35*('Calcs - Power'!$H110+'Calcs - Power'!$I110+'Calcs - Power'!$J110+'Calcs - Power'!$K110))</f>
        <v>47279.858680948768</v>
      </c>
      <c r="AB111" s="366">
        <f>(102*'Emissions Factors'!$C$36*'Calcs - Power'!$B110+'Emissions Factors'!$C$35*('Calcs - Power'!$C110+'Calcs - Power'!$D110+'Calcs - Power'!$E110+'Calcs - Power'!$F110))</f>
        <v>2667345.8289414183</v>
      </c>
      <c r="AI111" s="358">
        <f t="shared" si="22"/>
        <v>99</v>
      </c>
      <c r="AJ111" s="359">
        <f>(('Methane Leakage'!$G$6/'Methane Leakage'!$G$5)*102*'Emissions Factors'!$D$10*'Calcs - Power'!$G110+'Emissions Factors'!$D$11*('Calcs - Power'!$H110+'Calcs - Power'!$I110+'Calcs - Power'!$J110+'Calcs - Power'!$K110))</f>
        <v>3688.7557013320616</v>
      </c>
      <c r="AK111" s="366">
        <f>(('Methane Leakage'!$G$6/'Methane Leakage'!$G$5)*102*'Emissions Factors'!$D$10*'Calcs - Power'!$B110+'Emissions Factors'!$D$11*('Calcs - Power'!$C110+'Calcs - Power'!$D110+'Calcs - Power'!$E110+'Calcs - Power'!$F110))</f>
        <v>228449.12712622451</v>
      </c>
      <c r="AL111" s="359">
        <f>(102*'Emissions Factors'!$E$10*'Calcs - Power'!$G110+'Emissions Factors'!$E$11*('Calcs - Power'!H110+'Calcs - Power'!I110+'Calcs - Power'!J110+'Calcs - Power'!K110))</f>
        <v>4219.5710305903913</v>
      </c>
      <c r="AM111" s="366">
        <f>(102*'Emissions Factors'!$E$10*'Calcs - Power'!$B110+'Emissions Factors'!$E$11*('Calcs - Power'!C110+'Calcs - Power'!D110+'Calcs - Power'!E110+'Calcs - Power'!F110))</f>
        <v>239429.912120519</v>
      </c>
      <c r="AN111" s="359">
        <f>(102*'Emissions Factors'!$D$10*'Calcs - Power'!$G110+'Emissions Factors'!$D$11*('Calcs - Power'!$H110+'Calcs - Power'!$I110+'Calcs - Power'!$J110+'Calcs - Power'!$K110))</f>
        <v>3688.7557013320616</v>
      </c>
      <c r="AO111" s="366">
        <f>(102*'Emissions Factors'!$D$10*'Calcs - Power'!$B110+'Emissions Factors'!$D$11*('Calcs - Power'!$C110+'Calcs - Power'!$D110+'Calcs - Power'!$E110+'Calcs - Power'!$F110))</f>
        <v>228449.12712622451</v>
      </c>
      <c r="AP111" s="367">
        <f>(102*'Emissions Factors'!$E$10*'Calcs - Power'!$G110+'Emissions Factors'!$E$11*('Calcs - Power'!H110+'Calcs - Power'!I110+'Calcs - Power'!J110+'Calcs - Power'!K110))</f>
        <v>4219.5710305903913</v>
      </c>
      <c r="AQ111" s="366">
        <f>(102*'Emissions Factors'!$E$10*'Calcs - Power'!$B110+'Emissions Factors'!$E$11*('Calcs - Power'!C110+'Calcs - Power'!D110+'Calcs - Power'!E110+'Calcs - Power'!F110))</f>
        <v>239429.912120519</v>
      </c>
      <c r="AS111" s="357"/>
      <c r="AT111" s="357"/>
      <c r="AU111" s="357"/>
      <c r="AV111" s="357"/>
      <c r="AX111" s="358">
        <f t="shared" si="23"/>
        <v>99</v>
      </c>
      <c r="AY111" s="359">
        <f>(('Methane Leakage'!$G$6/'Methane Leakage'!$G$5)*102*'Emissions Factors'!$F$10*'Calcs - Power'!$G110+'Emissions Factors'!$F$11*('Calcs - Power'!$H110+'Calcs - Power'!$I110+'Calcs - Power'!$J110+'Calcs - Power'!$K110))</f>
        <v>5010994.0031932099</v>
      </c>
      <c r="AZ111" s="366">
        <f>(('Methane Leakage'!$G$6/'Methane Leakage'!$G$5)*102*'Emissions Factors'!$F$10*'Calcs - Power'!$B110+'Emissions Factors'!$F$11*('Calcs - Power'!$C110+'Calcs - Power'!$D110+'Calcs - Power'!$E110+'Calcs - Power'!$F110))</f>
        <v>302671107.6447944</v>
      </c>
      <c r="BA111" s="359">
        <f>(102*'Emissions Factors'!$G$10*'Calcs - Power'!$G110+'Emissions Factors'!$G$11*('Calcs - Power'!H110+'Calcs - Power'!I110+'Calcs - Power'!J110+'Calcs - Power'!K110))</f>
        <v>4867554.1001526564</v>
      </c>
      <c r="BB111" s="366">
        <f>(102*'Emissions Factors'!$G$10*'Calcs - Power'!$B110+'Emissions Factors'!$G$11*('Calcs - Power'!C110+'Calcs - Power'!D110+'Calcs - Power'!E110+'Calcs - Power'!F110))</f>
        <v>275364234.8905158</v>
      </c>
      <c r="BC111" s="359">
        <f>(102*'Emissions Factors'!$F$10*'Calcs - Power'!$G110+'Emissions Factors'!$F$11*('Calcs - Power'!$H110+'Calcs - Power'!$I110+'Calcs - Power'!$J110+'Calcs - Power'!$K110))</f>
        <v>5010994.0031932099</v>
      </c>
      <c r="BD111" s="366">
        <f>(102*'Emissions Factors'!$F$10*'Calcs - Power'!$B110+'Emissions Factors'!$F$11*('Calcs - Power'!$C110+'Calcs - Power'!$D110+'Calcs - Power'!$E110+'Calcs - Power'!$F110))</f>
        <v>302671107.6447944</v>
      </c>
      <c r="BE111" s="359">
        <f>(102*'Emissions Factors'!$G$10*'Calcs - Power'!$G110+'Emissions Factors'!$G$11*('Calcs - Power'!H110+'Calcs - Power'!I110+'Calcs - Power'!J110+'Calcs - Power'!K110))</f>
        <v>4867554.1001526564</v>
      </c>
      <c r="BF111" s="366">
        <f>(102*'Emissions Factors'!$G$10*'Calcs - Power'!$B110+'Emissions Factors'!$G$11*('Calcs - Power'!C110+'Calcs - Power'!D110+'Calcs - Power'!E110+'Calcs - Power'!F110))</f>
        <v>275364234.8905158</v>
      </c>
    </row>
    <row r="112" spans="1:58" x14ac:dyDescent="0.3">
      <c r="A112" s="351">
        <f t="shared" si="20"/>
        <v>100</v>
      </c>
      <c r="B112" s="352">
        <f t="shared" si="14"/>
        <v>0.99999999999999978</v>
      </c>
      <c r="C112" s="363">
        <f t="shared" si="15"/>
        <v>0.99999999999999989</v>
      </c>
      <c r="D112" s="352">
        <f t="shared" si="16"/>
        <v>1</v>
      </c>
      <c r="E112" s="364">
        <f t="shared" si="17"/>
        <v>1</v>
      </c>
      <c r="F112" s="364">
        <f t="shared" si="18"/>
        <v>1</v>
      </c>
      <c r="G112" s="365">
        <f t="shared" si="19"/>
        <v>1</v>
      </c>
      <c r="P112" s="358">
        <f t="shared" si="21"/>
        <v>100</v>
      </c>
      <c r="Q112" s="359">
        <f>(('Methane Leakage'!$C$6/'Methane Leakage'!$C$5)*102*'Emissions Factors'!$C$38*'Calcs - Power'!$G111+'Emissions Factors'!$C$37*('Calcs - Power'!$H111+'Calcs - Power'!$I111+'Calcs - Power'!$J111+'Calcs - Power'!$K111))</f>
        <v>26775.709206880227</v>
      </c>
      <c r="R112" s="366">
        <f>(('Methane Leakage'!$C$6/'Methane Leakage'!$C$5)*102*'Emissions Factors'!$C$38*'Calcs - Power'!$B111+'Emissions Factors'!$C$37*('Calcs - Power'!$C111+'Calcs - Power'!$D111+'Calcs - Power'!$E111+'Calcs - Power'!$F111))</f>
        <v>1635951.7229497726</v>
      </c>
      <c r="S112" s="359">
        <f>(('Methane Leakage'!$C$6/'Methane Leakage'!$C$5)*102*'Emissions Factors'!$D$38*'Calcs - Power'!$G111+'Emissions Factors'!$D$37*('Calcs - Power'!$H111+'Calcs - Power'!$I111+'Calcs - Power'!$J111+'Calcs - Power'!$K111))</f>
        <v>26775.709206880227</v>
      </c>
      <c r="T112" s="366">
        <f>(('Methane Leakage'!$C$6/'Methane Leakage'!$C$5)*102*'Emissions Factors'!$D$38*'Calcs - Power'!$B111+'Emissions Factors'!$D$37*('Calcs - Power'!$C111+'Calcs - Power'!$D111+'Calcs - Power'!$E111+'Calcs - Power'!$F111))</f>
        <v>1635951.7229497726</v>
      </c>
      <c r="U112" s="361">
        <f>(102*'Emissions Factors'!$C$36*'Calcs - Power'!$G111+'Emissions Factors'!$C$35*('Calcs - Power'!$H111+'Calcs - Power'!$I111+'Calcs - Power'!$J111+'Calcs - Power'!$K111))</f>
        <v>47635.474457197721</v>
      </c>
      <c r="V112" s="366">
        <f>(102*'Emissions Factors'!$C$36*'Calcs - Power'!$B111+'Emissions Factors'!$C$35*('Calcs - Power'!$C111+'Calcs - Power'!$D111+'Calcs - Power'!$E111+'Calcs - Power'!$F111))</f>
        <v>2714803.5710700853</v>
      </c>
      <c r="W112" s="359">
        <f>(102*'Emissions Factors'!$D$36*'Calcs - Power'!$G111+'Emissions Factors'!$D$35*('Calcs - Power'!$H111+'Calcs - Power'!$I111+'Calcs - Power'!$J111+'Calcs - Power'!$K111))</f>
        <v>47635.474457197721</v>
      </c>
      <c r="X112" s="366">
        <f>(102*'Emissions Factors'!$D$36*'Calcs - Power'!$B111+'Emissions Factors'!$D$35*('Calcs - Power'!$C111+'Calcs - Power'!$D111+'Calcs - Power'!$E111+'Calcs - Power'!$F111))</f>
        <v>2714803.5710700853</v>
      </c>
      <c r="Y112" s="359">
        <f>(102*'Emissions Factors'!$C$38*'Calcs - Power'!$G111+'Emissions Factors'!$C$37*('Calcs - Power'!$H111+'Calcs - Power'!$I111+'Calcs - Power'!$J111+'Calcs - Power'!$K111))</f>
        <v>26775.709206880227</v>
      </c>
      <c r="Z112" s="366">
        <f>(102*'Emissions Factors'!$C$38*'Calcs - Power'!$B111+'Emissions Factors'!$C$37*('Calcs - Power'!$C111+'Calcs - Power'!$D111+'Calcs - Power'!$E111+'Calcs - Power'!$F111))</f>
        <v>1635951.7229497726</v>
      </c>
      <c r="AA112" s="359">
        <f>(102*'Emissions Factors'!$C$36*'Calcs - Power'!$G111+'Emissions Factors'!$C$35*('Calcs - Power'!$H111+'Calcs - Power'!$I111+'Calcs - Power'!$J111+'Calcs - Power'!$K111))</f>
        <v>47635.474457197721</v>
      </c>
      <c r="AB112" s="366">
        <f>(102*'Emissions Factors'!$C$36*'Calcs - Power'!$B111+'Emissions Factors'!$C$35*('Calcs - Power'!$C111+'Calcs - Power'!$D111+'Calcs - Power'!$E111+'Calcs - Power'!$F111))</f>
        <v>2714803.5710700853</v>
      </c>
      <c r="AI112" s="358">
        <f t="shared" si="22"/>
        <v>100</v>
      </c>
      <c r="AJ112" s="359">
        <f>(('Methane Leakage'!$G$6/'Methane Leakage'!$G$5)*102*'Emissions Factors'!$D$10*'Calcs - Power'!$G111+'Emissions Factors'!$D$11*('Calcs - Power'!$H111+'Calcs - Power'!$I111+'Calcs - Power'!$J111+'Calcs - Power'!$K111))</f>
        <v>3711.5156423165163</v>
      </c>
      <c r="AK112" s="366">
        <f>(('Methane Leakage'!$G$6/'Methane Leakage'!$G$5)*102*'Emissions Factors'!$D$10*'Calcs - Power'!$B111+'Emissions Factors'!$D$11*('Calcs - Power'!$C111+'Calcs - Power'!$D111+'Calcs - Power'!$E111+'Calcs - Power'!$F111))</f>
        <v>232149.26772745093</v>
      </c>
      <c r="AL112" s="359">
        <f>(102*'Emissions Factors'!$E$10*'Calcs - Power'!$G111+'Emissions Factors'!$E$11*('Calcs - Power'!H111+'Calcs - Power'!I111+'Calcs - Power'!J111+'Calcs - Power'!K111))</f>
        <v>4250.9708687056236</v>
      </c>
      <c r="AM112" s="366">
        <f>(102*'Emissions Factors'!$E$10*'Calcs - Power'!$B111+'Emissions Factors'!$E$11*('Calcs - Power'!C111+'Calcs - Power'!D111+'Calcs - Power'!E111+'Calcs - Power'!F111))</f>
        <v>243665.18974819139</v>
      </c>
      <c r="AN112" s="359">
        <f>(102*'Emissions Factors'!$D$10*'Calcs - Power'!$G111+'Emissions Factors'!$D$11*('Calcs - Power'!$H111+'Calcs - Power'!$I111+'Calcs - Power'!$J111+'Calcs - Power'!$K111))</f>
        <v>3711.5156423165163</v>
      </c>
      <c r="AO112" s="366">
        <f>(102*'Emissions Factors'!$D$10*'Calcs - Power'!$B111+'Emissions Factors'!$D$11*('Calcs - Power'!$C111+'Calcs - Power'!$D111+'Calcs - Power'!$E111+'Calcs - Power'!$F111))</f>
        <v>232149.26772745093</v>
      </c>
      <c r="AP112" s="367">
        <f>(102*'Emissions Factors'!$E$10*'Calcs - Power'!$G111+'Emissions Factors'!$E$11*('Calcs - Power'!H111+'Calcs - Power'!I111+'Calcs - Power'!J111+'Calcs - Power'!K111))</f>
        <v>4250.9708687056236</v>
      </c>
      <c r="AQ112" s="366">
        <f>(102*'Emissions Factors'!$E$10*'Calcs - Power'!$B111+'Emissions Factors'!$E$11*('Calcs - Power'!C111+'Calcs - Power'!D111+'Calcs - Power'!E111+'Calcs - Power'!F111))</f>
        <v>243665.18974819139</v>
      </c>
      <c r="AS112" s="357"/>
      <c r="AT112" s="357"/>
      <c r="AU112" s="357"/>
      <c r="AV112" s="357"/>
      <c r="AX112" s="358">
        <f t="shared" si="23"/>
        <v>100</v>
      </c>
      <c r="AY112" s="359">
        <f>(('Methane Leakage'!$G$6/'Methane Leakage'!$G$5)*102*'Emissions Factors'!$F$10*'Calcs - Power'!$G111+'Emissions Factors'!$F$11*('Calcs - Power'!$H111+'Calcs - Power'!$I111+'Calcs - Power'!$J111+'Calcs - Power'!$K111))</f>
        <v>5043790.7066605985</v>
      </c>
      <c r="AZ112" s="366">
        <f>(('Methane Leakage'!$G$6/'Methane Leakage'!$G$5)*102*'Emissions Factors'!$F$10*'Calcs - Power'!$B111+'Emissions Factors'!$F$11*('Calcs - Power'!$C111+'Calcs - Power'!$D111+'Calcs - Power'!$E111+'Calcs - Power'!$F111))</f>
        <v>307698507.05997187</v>
      </c>
      <c r="BA112" s="359">
        <f>(102*'Emissions Factors'!$G$10*'Calcs - Power'!$G111+'Emissions Factors'!$G$11*('Calcs - Power'!H111+'Calcs - Power'!I111+'Calcs - Power'!J111+'Calcs - Power'!K111))</f>
        <v>4903980.2510708384</v>
      </c>
      <c r="BB112" s="366">
        <f>(102*'Emissions Factors'!$G$10*'Calcs - Power'!$B111+'Emissions Factors'!$G$11*('Calcs - Power'!C111+'Calcs - Power'!D111+'Calcs - Power'!E111+'Calcs - Power'!F111))</f>
        <v>280250009.80925995</v>
      </c>
      <c r="BC112" s="359">
        <f>(102*'Emissions Factors'!$F$10*'Calcs - Power'!$G111+'Emissions Factors'!$F$11*('Calcs - Power'!$H111+'Calcs - Power'!$I111+'Calcs - Power'!$J111+'Calcs - Power'!$K111))</f>
        <v>5043790.7066605985</v>
      </c>
      <c r="BD112" s="366">
        <f>(102*'Emissions Factors'!$F$10*'Calcs - Power'!$B111+'Emissions Factors'!$F$11*('Calcs - Power'!$C111+'Calcs - Power'!$D111+'Calcs - Power'!$E111+'Calcs - Power'!$F111))</f>
        <v>307698507.05997187</v>
      </c>
      <c r="BE112" s="359">
        <f>(102*'Emissions Factors'!$G$10*'Calcs - Power'!$G111+'Emissions Factors'!$G$11*('Calcs - Power'!H111+'Calcs - Power'!I111+'Calcs - Power'!J111+'Calcs - Power'!K111))</f>
        <v>4903980.2510708384</v>
      </c>
      <c r="BF112" s="366">
        <f>(102*'Emissions Factors'!$G$10*'Calcs - Power'!$B111+'Emissions Factors'!$G$11*('Calcs - Power'!C111+'Calcs - Power'!D111+'Calcs - Power'!E111+'Calcs - Power'!F111))</f>
        <v>280250009.80925995</v>
      </c>
    </row>
    <row r="113" spans="1:58" x14ac:dyDescent="0.3">
      <c r="A113" s="351">
        <f t="shared" si="20"/>
        <v>101</v>
      </c>
      <c r="B113" s="352">
        <f t="shared" si="14"/>
        <v>0.99999999999999989</v>
      </c>
      <c r="C113" s="363">
        <f t="shared" si="15"/>
        <v>1</v>
      </c>
      <c r="D113" s="352">
        <f t="shared" si="16"/>
        <v>1</v>
      </c>
      <c r="E113" s="364">
        <f t="shared" si="17"/>
        <v>1</v>
      </c>
      <c r="F113" s="364">
        <f t="shared" si="18"/>
        <v>1</v>
      </c>
      <c r="G113" s="365">
        <f t="shared" si="19"/>
        <v>1</v>
      </c>
      <c r="P113" s="358">
        <f t="shared" si="21"/>
        <v>101</v>
      </c>
      <c r="Q113" s="359">
        <f>(('Methane Leakage'!$C$6/'Methane Leakage'!$C$5)*102*'Emissions Factors'!$C$38*'Calcs - Power'!$G112+'Emissions Factors'!$C$37*('Calcs - Power'!$H112+'Calcs - Power'!$I112+'Calcs - Power'!$J112+'Calcs - Power'!$K112))</f>
        <v>26948.772479849555</v>
      </c>
      <c r="R113" s="366">
        <f>(('Methane Leakage'!$C$6/'Methane Leakage'!$C$5)*102*'Emissions Factors'!$C$38*'Calcs - Power'!$B112+'Emissions Factors'!$C$37*('Calcs - Power'!$C112+'Calcs - Power'!$D112+'Calcs - Power'!$E112+'Calcs - Power'!$F112))</f>
        <v>1662814.0007422757</v>
      </c>
      <c r="S113" s="359">
        <f>(('Methane Leakage'!$C$6/'Methane Leakage'!$C$5)*102*'Emissions Factors'!$D$38*'Calcs - Power'!$G112+'Emissions Factors'!$D$37*('Calcs - Power'!$H112+'Calcs - Power'!$I112+'Calcs - Power'!$J112+'Calcs - Power'!$K112))</f>
        <v>26948.772479849555</v>
      </c>
      <c r="T113" s="366">
        <f>(('Methane Leakage'!$C$6/'Methane Leakage'!$C$5)*102*'Emissions Factors'!$D$38*'Calcs - Power'!$B112+'Emissions Factors'!$D$37*('Calcs - Power'!$C112+'Calcs - Power'!$D112+'Calcs - Power'!$E112+'Calcs - Power'!$F112))</f>
        <v>1662814.0007422757</v>
      </c>
      <c r="U113" s="361">
        <f>(102*'Emissions Factors'!$C$36*'Calcs - Power'!$G112+'Emissions Factors'!$C$35*('Calcs - Power'!$H112+'Calcs - Power'!$I112+'Calcs - Power'!$J112+'Calcs - Power'!$K112))</f>
        <v>47990.188144672124</v>
      </c>
      <c r="V113" s="366">
        <f>(102*'Emissions Factors'!$C$36*'Calcs - Power'!$B112+'Emissions Factors'!$C$35*('Calcs - Power'!$C112+'Calcs - Power'!$D112+'Calcs - Power'!$E112+'Calcs - Power'!$F112))</f>
        <v>2762616.4771625889</v>
      </c>
      <c r="W113" s="359">
        <f>(102*'Emissions Factors'!$D$36*'Calcs - Power'!$G112+'Emissions Factors'!$D$35*('Calcs - Power'!$H112+'Calcs - Power'!$I112+'Calcs - Power'!$J112+'Calcs - Power'!$K112))</f>
        <v>47990.188144672124</v>
      </c>
      <c r="X113" s="366">
        <f>(102*'Emissions Factors'!$D$36*'Calcs - Power'!$B112+'Emissions Factors'!$D$35*('Calcs - Power'!$C112+'Calcs - Power'!$D112+'Calcs - Power'!$E112+'Calcs - Power'!$F112))</f>
        <v>2762616.4771625889</v>
      </c>
      <c r="Y113" s="359">
        <f>(102*'Emissions Factors'!$C$38*'Calcs - Power'!$G112+'Emissions Factors'!$C$37*('Calcs - Power'!$H112+'Calcs - Power'!$I112+'Calcs - Power'!$J112+'Calcs - Power'!$K112))</f>
        <v>26948.772479849555</v>
      </c>
      <c r="Z113" s="366">
        <f>(102*'Emissions Factors'!$C$38*'Calcs - Power'!$B112+'Emissions Factors'!$C$37*('Calcs - Power'!$C112+'Calcs - Power'!$D112+'Calcs - Power'!$E112+'Calcs - Power'!$F112))</f>
        <v>1662814.0007422757</v>
      </c>
      <c r="AA113" s="359">
        <f>(102*'Emissions Factors'!$C$36*'Calcs - Power'!$G112+'Emissions Factors'!$C$35*('Calcs - Power'!$H112+'Calcs - Power'!$I112+'Calcs - Power'!$J112+'Calcs - Power'!$K112))</f>
        <v>47990.188144672124</v>
      </c>
      <c r="AB113" s="366">
        <f>(102*'Emissions Factors'!$C$36*'Calcs - Power'!$B112+'Emissions Factors'!$C$35*('Calcs - Power'!$C112+'Calcs - Power'!$D112+'Calcs - Power'!$E112+'Calcs - Power'!$F112))</f>
        <v>2762616.4771625889</v>
      </c>
      <c r="AI113" s="358">
        <f t="shared" si="22"/>
        <v>101</v>
      </c>
      <c r="AJ113" s="359">
        <f>(('Methane Leakage'!$G$6/'Methane Leakage'!$G$5)*102*'Emissions Factors'!$D$10*'Calcs - Power'!$G112+'Emissions Factors'!$D$11*('Calcs - Power'!$H112+'Calcs - Power'!$I112+'Calcs - Power'!$J112+'Calcs - Power'!$K112))</f>
        <v>3734.2167731603531</v>
      </c>
      <c r="AK113" s="366">
        <f>(('Methane Leakage'!$G$6/'Methane Leakage'!$G$5)*102*'Emissions Factors'!$D$10*'Calcs - Power'!$B112+'Emissions Factors'!$D$11*('Calcs - Power'!$C112+'Calcs - Power'!$D112+'Calcs - Power'!$E112+'Calcs - Power'!$F112))</f>
        <v>235872.138807757</v>
      </c>
      <c r="AL113" s="359">
        <f>(102*'Emissions Factors'!$E$10*'Calcs - Power'!$G112+'Emissions Factors'!$E$11*('Calcs - Power'!H112+'Calcs - Power'!I112+'Calcs - Power'!J112+'Calcs - Power'!K112))</f>
        <v>4282.2909821780422</v>
      </c>
      <c r="AM113" s="366">
        <f>(102*'Emissions Factors'!$E$10*'Calcs - Power'!$B112+'Emissions Factors'!$E$11*('Calcs - Power'!C112+'Calcs - Power'!D112+'Calcs - Power'!E112+'Calcs - Power'!F112))</f>
        <v>247931.82728332296</v>
      </c>
      <c r="AN113" s="359">
        <f>(102*'Emissions Factors'!$D$10*'Calcs - Power'!$G112+'Emissions Factors'!$D$11*('Calcs - Power'!$H112+'Calcs - Power'!$I112+'Calcs - Power'!$J112+'Calcs - Power'!$K112))</f>
        <v>3734.2167731603531</v>
      </c>
      <c r="AO113" s="366">
        <f>(102*'Emissions Factors'!$D$10*'Calcs - Power'!$B112+'Emissions Factors'!$D$11*('Calcs - Power'!$C112+'Calcs - Power'!$D112+'Calcs - Power'!$E112+'Calcs - Power'!$F112))</f>
        <v>235872.138807757</v>
      </c>
      <c r="AP113" s="367">
        <f>(102*'Emissions Factors'!$E$10*'Calcs - Power'!$G112+'Emissions Factors'!$E$11*('Calcs - Power'!H112+'Calcs - Power'!I112+'Calcs - Power'!J112+'Calcs - Power'!K112))</f>
        <v>4282.2909821780422</v>
      </c>
      <c r="AQ113" s="366">
        <f>(102*'Emissions Factors'!$E$10*'Calcs - Power'!$B112+'Emissions Factors'!$E$11*('Calcs - Power'!C112+'Calcs - Power'!D112+'Calcs - Power'!E112+'Calcs - Power'!F112))</f>
        <v>247931.82728332296</v>
      </c>
      <c r="AS113" s="357"/>
      <c r="AT113" s="357"/>
      <c r="AU113" s="357"/>
      <c r="AV113" s="357"/>
      <c r="AX113" s="358">
        <f t="shared" si="23"/>
        <v>101</v>
      </c>
      <c r="AY113" s="359">
        <f>(('Methane Leakage'!$G$6/'Methane Leakage'!$G$5)*102*'Emissions Factors'!$F$10*'Calcs - Power'!$G112+'Emissions Factors'!$F$11*('Calcs - Power'!$H112+'Calcs - Power'!$I112+'Calcs - Power'!$J112+'Calcs - Power'!$K112))</f>
        <v>5076503.1595235262</v>
      </c>
      <c r="AZ113" s="366">
        <f>(('Methane Leakage'!$G$6/'Methane Leakage'!$G$5)*102*'Emissions Factors'!$F$10*'Calcs - Power'!$B112+'Emissions Factors'!$F$11*('Calcs - Power'!$C112+'Calcs - Power'!$D112+'Calcs - Power'!$E112+'Calcs - Power'!$F112))</f>
        <v>312758660.97494447</v>
      </c>
      <c r="BA113" s="359">
        <f>(102*'Emissions Factors'!$G$10*'Calcs - Power'!$G112+'Emissions Factors'!$G$11*('Calcs - Power'!H112+'Calcs - Power'!I112+'Calcs - Power'!J112+'Calcs - Power'!K112))</f>
        <v>4940313.9600134483</v>
      </c>
      <c r="BB113" s="366">
        <f>(102*'Emissions Factors'!$G$10*'Calcs - Power'!$B112+'Emissions Factors'!$G$11*('Calcs - Power'!C112+'Calcs - Power'!D112+'Calcs - Power'!E112+'Calcs - Power'!F112))</f>
        <v>285172164.57897955</v>
      </c>
      <c r="BC113" s="359">
        <f>(102*'Emissions Factors'!$F$10*'Calcs - Power'!$G112+'Emissions Factors'!$F$11*('Calcs - Power'!$H112+'Calcs - Power'!$I112+'Calcs - Power'!$J112+'Calcs - Power'!$K112))</f>
        <v>5076503.1595235262</v>
      </c>
      <c r="BD113" s="366">
        <f>(102*'Emissions Factors'!$F$10*'Calcs - Power'!$B112+'Emissions Factors'!$F$11*('Calcs - Power'!$C112+'Calcs - Power'!$D112+'Calcs - Power'!$E112+'Calcs - Power'!$F112))</f>
        <v>312758660.97494447</v>
      </c>
      <c r="BE113" s="359">
        <f>(102*'Emissions Factors'!$G$10*'Calcs - Power'!$G112+'Emissions Factors'!$G$11*('Calcs - Power'!H112+'Calcs - Power'!I112+'Calcs - Power'!J112+'Calcs - Power'!K112))</f>
        <v>4940313.9600134483</v>
      </c>
      <c r="BF113" s="366">
        <f>(102*'Emissions Factors'!$G$10*'Calcs - Power'!$B112+'Emissions Factors'!$G$11*('Calcs - Power'!C112+'Calcs - Power'!D112+'Calcs - Power'!E112+'Calcs - Power'!F112))</f>
        <v>285172164.57897955</v>
      </c>
    </row>
    <row r="114" spans="1:58" x14ac:dyDescent="0.3">
      <c r="A114" s="351">
        <f t="shared" si="20"/>
        <v>102</v>
      </c>
      <c r="B114" s="352">
        <f t="shared" si="14"/>
        <v>0.99999999999999989</v>
      </c>
      <c r="C114" s="363">
        <f t="shared" si="15"/>
        <v>0.99999999999999989</v>
      </c>
      <c r="D114" s="352">
        <f t="shared" si="16"/>
        <v>1</v>
      </c>
      <c r="E114" s="364">
        <f t="shared" si="17"/>
        <v>1</v>
      </c>
      <c r="F114" s="364">
        <f t="shared" si="18"/>
        <v>1</v>
      </c>
      <c r="G114" s="365">
        <f t="shared" si="19"/>
        <v>1</v>
      </c>
      <c r="P114" s="358">
        <f t="shared" si="21"/>
        <v>102</v>
      </c>
      <c r="Q114" s="359">
        <f>(('Methane Leakage'!$C$6/'Methane Leakage'!$C$5)*102*'Emissions Factors'!$C$38*'Calcs - Power'!$G113+'Emissions Factors'!$C$37*('Calcs - Power'!$H113+'Calcs - Power'!$I113+'Calcs - Power'!$J113+'Calcs - Power'!$K113))</f>
        <v>27121.394783546988</v>
      </c>
      <c r="R114" s="366">
        <f>(('Methane Leakage'!$C$6/'Methane Leakage'!$C$5)*102*'Emissions Factors'!$C$38*'Calcs - Power'!$B113+'Emissions Factors'!$C$37*('Calcs - Power'!$C113+'Calcs - Power'!$D113+'Calcs - Power'!$E113+'Calcs - Power'!$F113))</f>
        <v>1689849.120921541</v>
      </c>
      <c r="S114" s="359">
        <f>(('Methane Leakage'!$C$6/'Methane Leakage'!$C$5)*102*'Emissions Factors'!$D$38*'Calcs - Power'!$G113+'Emissions Factors'!$D$37*('Calcs - Power'!$H113+'Calcs - Power'!$I113+'Calcs - Power'!$J113+'Calcs - Power'!$K113))</f>
        <v>27121.394783546988</v>
      </c>
      <c r="T114" s="366">
        <f>(('Methane Leakage'!$C$6/'Methane Leakage'!$C$5)*102*'Emissions Factors'!$D$38*'Calcs - Power'!$B113+'Emissions Factors'!$D$37*('Calcs - Power'!$C113+'Calcs - Power'!$D113+'Calcs - Power'!$E113+'Calcs - Power'!$F113))</f>
        <v>1689849.120921541</v>
      </c>
      <c r="U114" s="361">
        <f>(102*'Emissions Factors'!$C$36*'Calcs - Power'!$G113+'Emissions Factors'!$C$35*('Calcs - Power'!$H113+'Calcs - Power'!$I113+'Calcs - Power'!$J113+'Calcs - Power'!$K113))</f>
        <v>48344.008825683173</v>
      </c>
      <c r="V114" s="366">
        <f>(102*'Emissions Factors'!$C$36*'Calcs - Power'!$B113+'Emissions Factors'!$C$35*('Calcs - Power'!$C113+'Calcs - Power'!$D113+'Calcs - Power'!$E113+'Calcs - Power'!$F113))</f>
        <v>2810783.6496934919</v>
      </c>
      <c r="W114" s="359">
        <f>(102*'Emissions Factors'!$D$36*'Calcs - Power'!$G113+'Emissions Factors'!$D$35*('Calcs - Power'!$H113+'Calcs - Power'!$I113+'Calcs - Power'!$J113+'Calcs - Power'!$K113))</f>
        <v>48344.008825683173</v>
      </c>
      <c r="X114" s="366">
        <f>(102*'Emissions Factors'!$D$36*'Calcs - Power'!$B113+'Emissions Factors'!$D$35*('Calcs - Power'!$C113+'Calcs - Power'!$D113+'Calcs - Power'!$E113+'Calcs - Power'!$F113))</f>
        <v>2810783.6496934919</v>
      </c>
      <c r="Y114" s="359">
        <f>(102*'Emissions Factors'!$C$38*'Calcs - Power'!$G113+'Emissions Factors'!$C$37*('Calcs - Power'!$H113+'Calcs - Power'!$I113+'Calcs - Power'!$J113+'Calcs - Power'!$K113))</f>
        <v>27121.394783546988</v>
      </c>
      <c r="Z114" s="366">
        <f>(102*'Emissions Factors'!$C$38*'Calcs - Power'!$B113+'Emissions Factors'!$C$37*('Calcs - Power'!$C113+'Calcs - Power'!$D113+'Calcs - Power'!$E113+'Calcs - Power'!$F113))</f>
        <v>1689849.120921541</v>
      </c>
      <c r="AA114" s="359">
        <f>(102*'Emissions Factors'!$C$36*'Calcs - Power'!$G113+'Emissions Factors'!$C$35*('Calcs - Power'!$H113+'Calcs - Power'!$I113+'Calcs - Power'!$J113+'Calcs - Power'!$K113))</f>
        <v>48344.008825683173</v>
      </c>
      <c r="AB114" s="366">
        <f>(102*'Emissions Factors'!$C$36*'Calcs - Power'!$B113+'Emissions Factors'!$C$35*('Calcs - Power'!$C113+'Calcs - Power'!$D113+'Calcs - Power'!$E113+'Calcs - Power'!$F113))</f>
        <v>2810783.6496934919</v>
      </c>
      <c r="AI114" s="358">
        <f t="shared" si="22"/>
        <v>102</v>
      </c>
      <c r="AJ114" s="359">
        <f>(('Methane Leakage'!$G$6/'Methane Leakage'!$G$5)*102*'Emissions Factors'!$D$10*'Calcs - Power'!$G113+'Emissions Factors'!$D$11*('Calcs - Power'!$H113+'Calcs - Power'!$I113+'Calcs - Power'!$J113+'Calcs - Power'!$K113))</f>
        <v>3756.8597635681299</v>
      </c>
      <c r="AK114" s="366">
        <f>(('Methane Leakage'!$G$6/'Methane Leakage'!$G$5)*102*'Emissions Factors'!$D$10*'Calcs - Power'!$B113+'Emissions Factors'!$D$11*('Calcs - Power'!$C113+'Calcs - Power'!$D113+'Calcs - Power'!$E113+'Calcs - Power'!$F113))</f>
        <v>239617.68189388953</v>
      </c>
      <c r="AL114" s="359">
        <f>(102*'Emissions Factors'!$E$10*'Calcs - Power'!$G113+'Emissions Factors'!$E$11*('Calcs - Power'!H113+'Calcs - Power'!I113+'Calcs - Power'!J113+'Calcs - Power'!K113))</f>
        <v>4313.5321789391792</v>
      </c>
      <c r="AM114" s="366">
        <f>(102*'Emissions Factors'!$E$10*'Calcs - Power'!$B113+'Emissions Factors'!$E$11*('Calcs - Power'!C113+'Calcs - Power'!D113+'Calcs - Power'!E113+'Calcs - Power'!F113))</f>
        <v>252229.74540723694</v>
      </c>
      <c r="AN114" s="359">
        <f>(102*'Emissions Factors'!$D$10*'Calcs - Power'!$G113+'Emissions Factors'!$D$11*('Calcs - Power'!$H113+'Calcs - Power'!$I113+'Calcs - Power'!$J113+'Calcs - Power'!$K113))</f>
        <v>3756.8597635681299</v>
      </c>
      <c r="AO114" s="366">
        <f>(102*'Emissions Factors'!$D$10*'Calcs - Power'!$B113+'Emissions Factors'!$D$11*('Calcs - Power'!$C113+'Calcs - Power'!$D113+'Calcs - Power'!$E113+'Calcs - Power'!$F113))</f>
        <v>239617.68189388953</v>
      </c>
      <c r="AP114" s="367">
        <f>(102*'Emissions Factors'!$E$10*'Calcs - Power'!$G113+'Emissions Factors'!$E$11*('Calcs - Power'!H113+'Calcs - Power'!I113+'Calcs - Power'!J113+'Calcs - Power'!K113))</f>
        <v>4313.5321789391792</v>
      </c>
      <c r="AQ114" s="366">
        <f>(102*'Emissions Factors'!$E$10*'Calcs - Power'!$B113+'Emissions Factors'!$E$11*('Calcs - Power'!C113+'Calcs - Power'!D113+'Calcs - Power'!E113+'Calcs - Power'!F113))</f>
        <v>252229.74540723694</v>
      </c>
      <c r="AS114" s="357"/>
      <c r="AT114" s="357"/>
      <c r="AU114" s="357"/>
      <c r="AV114" s="357"/>
      <c r="AX114" s="358">
        <f t="shared" si="23"/>
        <v>102</v>
      </c>
      <c r="AY114" s="359">
        <f>(('Methane Leakage'!$G$6/'Methane Leakage'!$G$5)*102*'Emissions Factors'!$F$10*'Calcs - Power'!$G113+'Emissions Factors'!$F$11*('Calcs - Power'!$H113+'Calcs - Power'!$I113+'Calcs - Power'!$J113+'Calcs - Power'!$K113))</f>
        <v>5109132.2861985322</v>
      </c>
      <c r="AZ114" s="366">
        <f>(('Methane Leakage'!$G$6/'Methane Leakage'!$G$5)*102*'Emissions Factors'!$F$10*'Calcs - Power'!$B113+'Emissions Factors'!$F$11*('Calcs - Power'!$C113+'Calcs - Power'!$D113+'Calcs - Power'!$E113+'Calcs - Power'!$F113))</f>
        <v>317851485.60396606</v>
      </c>
      <c r="BA114" s="359">
        <f>(102*'Emissions Factors'!$G$10*'Calcs - Power'!$G113+'Emissions Factors'!$G$11*('Calcs - Power'!H113+'Calcs - Power'!I113+'Calcs - Power'!J113+'Calcs - Power'!K113))</f>
        <v>4976556.1605773577</v>
      </c>
      <c r="BB114" s="366">
        <f>(102*'Emissions Factors'!$G$10*'Calcs - Power'!$B113+'Emissions Factors'!$G$11*('Calcs - Power'!C113+'Calcs - Power'!D113+'Calcs - Power'!E113+'Calcs - Power'!F113))</f>
        <v>290130607.22679222</v>
      </c>
      <c r="BC114" s="359">
        <f>(102*'Emissions Factors'!$F$10*'Calcs - Power'!$G113+'Emissions Factors'!$F$11*('Calcs - Power'!$H113+'Calcs - Power'!$I113+'Calcs - Power'!$J113+'Calcs - Power'!$K113))</f>
        <v>5109132.2861985322</v>
      </c>
      <c r="BD114" s="366">
        <f>(102*'Emissions Factors'!$F$10*'Calcs - Power'!$B113+'Emissions Factors'!$F$11*('Calcs - Power'!$C113+'Calcs - Power'!$D113+'Calcs - Power'!$E113+'Calcs - Power'!$F113))</f>
        <v>317851485.60396606</v>
      </c>
      <c r="BE114" s="359">
        <f>(102*'Emissions Factors'!$G$10*'Calcs - Power'!$G113+'Emissions Factors'!$G$11*('Calcs - Power'!H113+'Calcs - Power'!I113+'Calcs - Power'!J113+'Calcs - Power'!K113))</f>
        <v>4976556.1605773577</v>
      </c>
      <c r="BF114" s="366">
        <f>(102*'Emissions Factors'!$G$10*'Calcs - Power'!$B113+'Emissions Factors'!$G$11*('Calcs - Power'!C113+'Calcs - Power'!D113+'Calcs - Power'!E113+'Calcs - Power'!F113))</f>
        <v>290130607.22679222</v>
      </c>
    </row>
    <row r="115" spans="1:58" x14ac:dyDescent="0.3">
      <c r="A115" s="351">
        <f t="shared" si="20"/>
        <v>103</v>
      </c>
      <c r="B115" s="352">
        <f t="shared" si="14"/>
        <v>1</v>
      </c>
      <c r="C115" s="363">
        <f t="shared" si="15"/>
        <v>0.99999999999999989</v>
      </c>
      <c r="D115" s="352">
        <f t="shared" si="16"/>
        <v>1</v>
      </c>
      <c r="E115" s="364">
        <f t="shared" si="17"/>
        <v>1</v>
      </c>
      <c r="F115" s="364">
        <f t="shared" si="18"/>
        <v>1</v>
      </c>
      <c r="G115" s="365">
        <f t="shared" si="19"/>
        <v>1</v>
      </c>
      <c r="P115" s="358">
        <f t="shared" si="21"/>
        <v>103</v>
      </c>
      <c r="Q115" s="359">
        <f>(('Methane Leakage'!$C$6/'Methane Leakage'!$C$5)*102*'Emissions Factors'!$C$38*'Calcs - Power'!$G114+'Emissions Factors'!$C$37*('Calcs - Power'!$H114+'Calcs - Power'!$I114+'Calcs - Power'!$J114+'Calcs - Power'!$K114))</f>
        <v>27293.58085630992</v>
      </c>
      <c r="R115" s="366">
        <f>(('Methane Leakage'!$C$6/'Methane Leakage'!$C$5)*102*'Emissions Factors'!$C$38*'Calcs - Power'!$B114+'Emissions Factors'!$C$37*('Calcs - Power'!$C114+'Calcs - Power'!$D114+'Calcs - Power'!$E114+'Calcs - Power'!$F114))</f>
        <v>1717056.6449007825</v>
      </c>
      <c r="S115" s="359">
        <f>(('Methane Leakage'!$C$6/'Methane Leakage'!$C$5)*102*'Emissions Factors'!$D$38*'Calcs - Power'!$G114+'Emissions Factors'!$D$37*('Calcs - Power'!$H114+'Calcs - Power'!$I114+'Calcs - Power'!$J114+'Calcs - Power'!$K114))</f>
        <v>27293.58085630992</v>
      </c>
      <c r="T115" s="366">
        <f>(('Methane Leakage'!$C$6/'Methane Leakage'!$C$5)*102*'Emissions Factors'!$D$38*'Calcs - Power'!$B114+'Emissions Factors'!$D$37*('Calcs - Power'!$C114+'Calcs - Power'!$D114+'Calcs - Power'!$E114+'Calcs - Power'!$F114))</f>
        <v>1717056.6449007825</v>
      </c>
      <c r="U115" s="361">
        <f>(102*'Emissions Factors'!$C$36*'Calcs - Power'!$G114+'Emissions Factors'!$C$35*('Calcs - Power'!$H114+'Calcs - Power'!$I114+'Calcs - Power'!$J114+'Calcs - Power'!$K114))</f>
        <v>48696.945322877065</v>
      </c>
      <c r="V115" s="366">
        <f>(102*'Emissions Factors'!$C$36*'Calcs - Power'!$B114+'Emissions Factors'!$C$35*('Calcs - Power'!$C114+'Calcs - Power'!$D114+'Calcs - Power'!$E114+'Calcs - Power'!$F114))</f>
        <v>2859304.200088759</v>
      </c>
      <c r="W115" s="359">
        <f>(102*'Emissions Factors'!$D$36*'Calcs - Power'!$G114+'Emissions Factors'!$D$35*('Calcs - Power'!$H114+'Calcs - Power'!$I114+'Calcs - Power'!$J114+'Calcs - Power'!$K114))</f>
        <v>48696.945322877065</v>
      </c>
      <c r="X115" s="366">
        <f>(102*'Emissions Factors'!$D$36*'Calcs - Power'!$B114+'Emissions Factors'!$D$35*('Calcs - Power'!$C114+'Calcs - Power'!$D114+'Calcs - Power'!$E114+'Calcs - Power'!$F114))</f>
        <v>2859304.200088759</v>
      </c>
      <c r="Y115" s="359">
        <f>(102*'Emissions Factors'!$C$38*'Calcs - Power'!$G114+'Emissions Factors'!$C$37*('Calcs - Power'!$H114+'Calcs - Power'!$I114+'Calcs - Power'!$J114+'Calcs - Power'!$K114))</f>
        <v>27293.58085630992</v>
      </c>
      <c r="Z115" s="366">
        <f>(102*'Emissions Factors'!$C$38*'Calcs - Power'!$B114+'Emissions Factors'!$C$37*('Calcs - Power'!$C114+'Calcs - Power'!$D114+'Calcs - Power'!$E114+'Calcs - Power'!$F114))</f>
        <v>1717056.6449007825</v>
      </c>
      <c r="AA115" s="359">
        <f>(102*'Emissions Factors'!$C$36*'Calcs - Power'!$G114+'Emissions Factors'!$C$35*('Calcs - Power'!$H114+'Calcs - Power'!$I114+'Calcs - Power'!$J114+'Calcs - Power'!$K114))</f>
        <v>48696.945322877065</v>
      </c>
      <c r="AB115" s="366">
        <f>(102*'Emissions Factors'!$C$36*'Calcs - Power'!$B114+'Emissions Factors'!$C$35*('Calcs - Power'!$C114+'Calcs - Power'!$D114+'Calcs - Power'!$E114+'Calcs - Power'!$F114))</f>
        <v>2859304.200088759</v>
      </c>
      <c r="AI115" s="358">
        <f t="shared" si="22"/>
        <v>103</v>
      </c>
      <c r="AJ115" s="359">
        <f>(('Methane Leakage'!$G$6/'Methane Leakage'!$G$5)*102*'Emissions Factors'!$D$10*'Calcs - Power'!$G114+'Emissions Factors'!$D$11*('Calcs - Power'!$H114+'Calcs - Power'!$I114+'Calcs - Power'!$J114+'Calcs - Power'!$K114))</f>
        <v>3779.4452595373255</v>
      </c>
      <c r="AK115" s="366">
        <f>(('Methane Leakage'!$G$6/'Methane Leakage'!$G$5)*102*'Emissions Factors'!$D$10*'Calcs - Power'!$B114+'Emissions Factors'!$D$11*('Calcs - Power'!$C114+'Calcs - Power'!$D114+'Calcs - Power'!$E114+'Calcs - Power'!$F114))</f>
        <v>243385.83917032834</v>
      </c>
      <c r="AL115" s="359">
        <f>(102*'Emissions Factors'!$E$10*'Calcs - Power'!$G114+'Emissions Factors'!$E$11*('Calcs - Power'!H114+'Calcs - Power'!I114+'Calcs - Power'!J114+'Calcs - Power'!K114))</f>
        <v>4344.6952435127441</v>
      </c>
      <c r="AM115" s="366">
        <f>(102*'Emissions Factors'!$E$10*'Calcs - Power'!$B114+'Emissions Factors'!$E$11*('Calcs - Power'!C114+'Calcs - Power'!D114+'Calcs - Power'!E114+'Calcs - Power'!F114))</f>
        <v>256558.86559738585</v>
      </c>
      <c r="AN115" s="359">
        <f>(102*'Emissions Factors'!$D$10*'Calcs - Power'!$G114+'Emissions Factors'!$D$11*('Calcs - Power'!$H114+'Calcs - Power'!$I114+'Calcs - Power'!$J114+'Calcs - Power'!$K114))</f>
        <v>3779.4452595373255</v>
      </c>
      <c r="AO115" s="366">
        <f>(102*'Emissions Factors'!$D$10*'Calcs - Power'!$B114+'Emissions Factors'!$D$11*('Calcs - Power'!$C114+'Calcs - Power'!$D114+'Calcs - Power'!$E114+'Calcs - Power'!$F114))</f>
        <v>243385.83917032834</v>
      </c>
      <c r="AP115" s="367">
        <f>(102*'Emissions Factors'!$E$10*'Calcs - Power'!$G114+'Emissions Factors'!$E$11*('Calcs - Power'!H114+'Calcs - Power'!I114+'Calcs - Power'!J114+'Calcs - Power'!K114))</f>
        <v>4344.6952435127441</v>
      </c>
      <c r="AQ115" s="366">
        <f>(102*'Emissions Factors'!$E$10*'Calcs - Power'!$B114+'Emissions Factors'!$E$11*('Calcs - Power'!C114+'Calcs - Power'!D114+'Calcs - Power'!E114+'Calcs - Power'!F114))</f>
        <v>256558.86559738585</v>
      </c>
      <c r="AS115" s="357"/>
      <c r="AT115" s="357"/>
      <c r="AU115" s="357"/>
      <c r="AV115" s="357"/>
      <c r="AX115" s="358">
        <f t="shared" si="23"/>
        <v>103</v>
      </c>
      <c r="AY115" s="359">
        <f>(('Methane Leakage'!$G$6/'Methane Leakage'!$G$5)*102*'Emissions Factors'!$F$10*'Calcs - Power'!$G114+'Emissions Factors'!$F$11*('Calcs - Power'!$H114+'Calcs - Power'!$I114+'Calcs - Power'!$J114+'Calcs - Power'!$K114))</f>
        <v>5141678.980196544</v>
      </c>
      <c r="AZ115" s="366">
        <f>(('Methane Leakage'!$G$6/'Methane Leakage'!$G$5)*102*'Emissions Factors'!$F$10*'Calcs - Power'!$B114+'Emissions Factors'!$F$11*('Calcs - Power'!$C114+'Calcs - Power'!$D114+'Calcs - Power'!$E114+'Calcs - Power'!$F114))</f>
        <v>322976898.07010657</v>
      </c>
      <c r="BA115" s="359">
        <f>(102*'Emissions Factors'!$G$10*'Calcs - Power'!$G114+'Emissions Factors'!$G$11*('Calcs - Power'!H114+'Calcs - Power'!I114+'Calcs - Power'!J114+'Calcs - Power'!K114))</f>
        <v>5012707.7594983242</v>
      </c>
      <c r="BB115" s="366">
        <f>(102*'Emissions Factors'!$G$10*'Calcs - Power'!$B114+'Emissions Factors'!$G$11*('Calcs - Power'!C114+'Calcs - Power'!D114+'Calcs - Power'!E114+'Calcs - Power'!F114))</f>
        <v>295125246.69987023</v>
      </c>
      <c r="BC115" s="359">
        <f>(102*'Emissions Factors'!$F$10*'Calcs - Power'!$G114+'Emissions Factors'!$F$11*('Calcs - Power'!$H114+'Calcs - Power'!$I114+'Calcs - Power'!$J114+'Calcs - Power'!$K114))</f>
        <v>5141678.980196544</v>
      </c>
      <c r="BD115" s="366">
        <f>(102*'Emissions Factors'!$F$10*'Calcs - Power'!$B114+'Emissions Factors'!$F$11*('Calcs - Power'!$C114+'Calcs - Power'!$D114+'Calcs - Power'!$E114+'Calcs - Power'!$F114))</f>
        <v>322976898.07010657</v>
      </c>
      <c r="BE115" s="359">
        <f>(102*'Emissions Factors'!$G$10*'Calcs - Power'!$G114+'Emissions Factors'!$G$11*('Calcs - Power'!H114+'Calcs - Power'!I114+'Calcs - Power'!J114+'Calcs - Power'!K114))</f>
        <v>5012707.7594983242</v>
      </c>
      <c r="BF115" s="366">
        <f>(102*'Emissions Factors'!$G$10*'Calcs - Power'!$B114+'Emissions Factors'!$G$11*('Calcs - Power'!C114+'Calcs - Power'!D114+'Calcs - Power'!E114+'Calcs - Power'!F114))</f>
        <v>295125246.69987023</v>
      </c>
    </row>
    <row r="116" spans="1:58" x14ac:dyDescent="0.3">
      <c r="A116" s="351">
        <f t="shared" si="20"/>
        <v>104</v>
      </c>
      <c r="B116" s="352">
        <f t="shared" si="14"/>
        <v>0.99999999999999989</v>
      </c>
      <c r="C116" s="363">
        <f t="shared" si="15"/>
        <v>0.99999999999999989</v>
      </c>
      <c r="D116" s="352">
        <f t="shared" si="16"/>
        <v>1</v>
      </c>
      <c r="E116" s="364">
        <f t="shared" si="17"/>
        <v>1</v>
      </c>
      <c r="F116" s="364">
        <f t="shared" si="18"/>
        <v>1</v>
      </c>
      <c r="G116" s="365">
        <f t="shared" si="19"/>
        <v>1</v>
      </c>
      <c r="P116" s="358">
        <f t="shared" si="21"/>
        <v>104</v>
      </c>
      <c r="Q116" s="359">
        <f>(('Methane Leakage'!$C$6/'Methane Leakage'!$C$5)*102*'Emissions Factors'!$C$38*'Calcs - Power'!$G115+'Emissions Factors'!$C$37*('Calcs - Power'!$H115+'Calcs - Power'!$I115+'Calcs - Power'!$J115+'Calcs - Power'!$K115))</f>
        <v>27465.335281188603</v>
      </c>
      <c r="R116" s="366">
        <f>(('Methane Leakage'!$C$6/'Methane Leakage'!$C$5)*102*'Emissions Factors'!$C$38*'Calcs - Power'!$B115+'Emissions Factors'!$C$37*('Calcs - Power'!$C115+'Calcs - Power'!$D115+'Calcs - Power'!$E115+'Calcs - Power'!$F115))</f>
        <v>1744436.1387531625</v>
      </c>
      <c r="S116" s="359">
        <f>(('Methane Leakage'!$C$6/'Methane Leakage'!$C$5)*102*'Emissions Factors'!$D$38*'Calcs - Power'!$G115+'Emissions Factors'!$D$37*('Calcs - Power'!$H115+'Calcs - Power'!$I115+'Calcs - Power'!$J115+'Calcs - Power'!$K115))</f>
        <v>27465.335281188603</v>
      </c>
      <c r="T116" s="366">
        <f>(('Methane Leakage'!$C$6/'Methane Leakage'!$C$5)*102*'Emissions Factors'!$D$38*'Calcs - Power'!$B115+'Emissions Factors'!$D$37*('Calcs - Power'!$C115+'Calcs - Power'!$D115+'Calcs - Power'!$E115+'Calcs - Power'!$F115))</f>
        <v>1744436.1387531625</v>
      </c>
      <c r="U116" s="361">
        <f>(102*'Emissions Factors'!$C$36*'Calcs - Power'!$G115+'Emissions Factors'!$C$35*('Calcs - Power'!$H115+'Calcs - Power'!$I115+'Calcs - Power'!$J115+'Calcs - Power'!$K115))</f>
        <v>49049.006211892636</v>
      </c>
      <c r="V116" s="366">
        <f>(102*'Emissions Factors'!$C$36*'Calcs - Power'!$B115+'Emissions Factors'!$C$35*('Calcs - Power'!$C115+'Calcs - Power'!$D115+'Calcs - Power'!$E115+'Calcs - Power'!$F115))</f>
        <v>2908177.2484724652</v>
      </c>
      <c r="W116" s="359">
        <f>(102*'Emissions Factors'!$D$36*'Calcs - Power'!$G115+'Emissions Factors'!$D$35*('Calcs - Power'!$H115+'Calcs - Power'!$I115+'Calcs - Power'!$J115+'Calcs - Power'!$K115))</f>
        <v>49049.006211892636</v>
      </c>
      <c r="X116" s="366">
        <f>(102*'Emissions Factors'!$D$36*'Calcs - Power'!$B115+'Emissions Factors'!$D$35*('Calcs - Power'!$C115+'Calcs - Power'!$D115+'Calcs - Power'!$E115+'Calcs - Power'!$F115))</f>
        <v>2908177.2484724652</v>
      </c>
      <c r="Y116" s="359">
        <f>(102*'Emissions Factors'!$C$38*'Calcs - Power'!$G115+'Emissions Factors'!$C$37*('Calcs - Power'!$H115+'Calcs - Power'!$I115+'Calcs - Power'!$J115+'Calcs - Power'!$K115))</f>
        <v>27465.335281188603</v>
      </c>
      <c r="Z116" s="366">
        <f>(102*'Emissions Factors'!$C$38*'Calcs - Power'!$B115+'Emissions Factors'!$C$37*('Calcs - Power'!$C115+'Calcs - Power'!$D115+'Calcs - Power'!$E115+'Calcs - Power'!$F115))</f>
        <v>1744436.1387531625</v>
      </c>
      <c r="AA116" s="359">
        <f>(102*'Emissions Factors'!$C$36*'Calcs - Power'!$G115+'Emissions Factors'!$C$35*('Calcs - Power'!$H115+'Calcs - Power'!$I115+'Calcs - Power'!$J115+'Calcs - Power'!$K115))</f>
        <v>49049.006211892636</v>
      </c>
      <c r="AB116" s="366">
        <f>(102*'Emissions Factors'!$C$36*'Calcs - Power'!$B115+'Emissions Factors'!$C$35*('Calcs - Power'!$C115+'Calcs - Power'!$D115+'Calcs - Power'!$E115+'Calcs - Power'!$F115))</f>
        <v>2908177.2484724652</v>
      </c>
      <c r="AI116" s="358">
        <f t="shared" si="22"/>
        <v>104</v>
      </c>
      <c r="AJ116" s="359">
        <f>(('Methane Leakage'!$G$6/'Methane Leakage'!$G$5)*102*'Emissions Factors'!$D$10*'Calcs - Power'!$G115+'Emissions Factors'!$D$11*('Calcs - Power'!$H115+'Calcs - Power'!$I115+'Calcs - Power'!$J115+'Calcs - Power'!$K115))</f>
        <v>3801.9738847354897</v>
      </c>
      <c r="AK116" s="366">
        <f>(('Methane Leakage'!$G$6/'Methane Leakage'!$G$5)*102*'Emissions Factors'!$D$10*'Calcs - Power'!$B115+'Emissions Factors'!$D$11*('Calcs - Power'!$C115+'Calcs - Power'!$D115+'Calcs - Power'!$E115+'Calcs - Power'!$F115))</f>
        <v>247176.55345627427</v>
      </c>
      <c r="AL116" s="359">
        <f>(102*'Emissions Factors'!$E$10*'Calcs - Power'!$G115+'Emissions Factors'!$E$11*('Calcs - Power'!H115+'Calcs - Power'!I115+'Calcs - Power'!J115+'Calcs - Power'!K115))</f>
        <v>4375.7809381706666</v>
      </c>
      <c r="AM116" s="366">
        <f>(102*'Emissions Factors'!$E$10*'Calcs - Power'!$B115+'Emissions Factors'!$E$11*('Calcs - Power'!C115+'Calcs - Power'!D115+'Calcs - Power'!E115+'Calcs - Power'!F115))</f>
        <v>260919.11010452572</v>
      </c>
      <c r="AN116" s="359">
        <f>(102*'Emissions Factors'!$D$10*'Calcs - Power'!$G115+'Emissions Factors'!$D$11*('Calcs - Power'!$H115+'Calcs - Power'!$I115+'Calcs - Power'!$J115+'Calcs - Power'!$K115))</f>
        <v>3801.9738847354897</v>
      </c>
      <c r="AO116" s="366">
        <f>(102*'Emissions Factors'!$D$10*'Calcs - Power'!$B115+'Emissions Factors'!$D$11*('Calcs - Power'!$C115+'Calcs - Power'!$D115+'Calcs - Power'!$E115+'Calcs - Power'!$F115))</f>
        <v>247176.55345627427</v>
      </c>
      <c r="AP116" s="367">
        <f>(102*'Emissions Factors'!$E$10*'Calcs - Power'!$G115+'Emissions Factors'!$E$11*('Calcs - Power'!H115+'Calcs - Power'!I115+'Calcs - Power'!J115+'Calcs - Power'!K115))</f>
        <v>4375.7809381706666</v>
      </c>
      <c r="AQ116" s="366">
        <f>(102*'Emissions Factors'!$E$10*'Calcs - Power'!$B115+'Emissions Factors'!$E$11*('Calcs - Power'!C115+'Calcs - Power'!D115+'Calcs - Power'!E115+'Calcs - Power'!F115))</f>
        <v>260919.11010452572</v>
      </c>
      <c r="AS116" s="357"/>
      <c r="AT116" s="357"/>
      <c r="AU116" s="357"/>
      <c r="AV116" s="357"/>
      <c r="AX116" s="358">
        <f t="shared" si="23"/>
        <v>104</v>
      </c>
      <c r="AY116" s="359">
        <f>(('Methane Leakage'!$G$6/'Methane Leakage'!$G$5)*102*'Emissions Factors'!$F$10*'Calcs - Power'!$G115+'Emissions Factors'!$F$11*('Calcs - Power'!$H115+'Calcs - Power'!$I115+'Calcs - Power'!$J115+'Calcs - Power'!$K115))</f>
        <v>5174144.1058468632</v>
      </c>
      <c r="AZ116" s="366">
        <f>(('Methane Leakage'!$G$6/'Methane Leakage'!$G$5)*102*'Emissions Factors'!$F$10*'Calcs - Power'!$B115+'Emissions Factors'!$F$11*('Calcs - Power'!$C115+'Calcs - Power'!$D115+'Calcs - Power'!$E115+'Calcs - Power'!$F115))</f>
        <v>328134816.37521625</v>
      </c>
      <c r="BA116" s="359">
        <f>(102*'Emissions Factors'!$G$10*'Calcs - Power'!$G115+'Emissions Factors'!$G$11*('Calcs - Power'!H115+'Calcs - Power'!I115+'Calcs - Power'!J115+'Calcs - Power'!K115))</f>
        <v>5048769.6379685896</v>
      </c>
      <c r="BB116" s="366">
        <f>(102*'Emissions Factors'!$G$10*'Calcs - Power'!$B115+'Emissions Factors'!$G$11*('Calcs - Power'!C115+'Calcs - Power'!D115+'Calcs - Power'!E115+'Calcs - Power'!F115))</f>
        <v>300155992.83924204</v>
      </c>
      <c r="BC116" s="359">
        <f>(102*'Emissions Factors'!$F$10*'Calcs - Power'!$G115+'Emissions Factors'!$F$11*('Calcs - Power'!$H115+'Calcs - Power'!$I115+'Calcs - Power'!$J115+'Calcs - Power'!$K115))</f>
        <v>5174144.1058468632</v>
      </c>
      <c r="BD116" s="366">
        <f>(102*'Emissions Factors'!$F$10*'Calcs - Power'!$B115+'Emissions Factors'!$F$11*('Calcs - Power'!$C115+'Calcs - Power'!$D115+'Calcs - Power'!$E115+'Calcs - Power'!$F115))</f>
        <v>328134816.37521625</v>
      </c>
      <c r="BE116" s="359">
        <f>(102*'Emissions Factors'!$G$10*'Calcs - Power'!$G115+'Emissions Factors'!$G$11*('Calcs - Power'!H115+'Calcs - Power'!I115+'Calcs - Power'!J115+'Calcs - Power'!K115))</f>
        <v>5048769.6379685896</v>
      </c>
      <c r="BF116" s="366">
        <f>(102*'Emissions Factors'!$G$10*'Calcs - Power'!$B115+'Emissions Factors'!$G$11*('Calcs - Power'!C115+'Calcs - Power'!D115+'Calcs - Power'!E115+'Calcs - Power'!F115))</f>
        <v>300155992.83924204</v>
      </c>
    </row>
    <row r="117" spans="1:58" x14ac:dyDescent="0.3">
      <c r="A117" s="351">
        <f t="shared" si="20"/>
        <v>105</v>
      </c>
      <c r="B117" s="352">
        <f t="shared" si="14"/>
        <v>0.99999999999999989</v>
      </c>
      <c r="C117" s="363">
        <f t="shared" si="15"/>
        <v>0.99999999999999989</v>
      </c>
      <c r="D117" s="352">
        <f t="shared" si="16"/>
        <v>1</v>
      </c>
      <c r="E117" s="364">
        <f t="shared" si="17"/>
        <v>1</v>
      </c>
      <c r="F117" s="364">
        <f t="shared" si="18"/>
        <v>1</v>
      </c>
      <c r="G117" s="365">
        <f t="shared" si="19"/>
        <v>1</v>
      </c>
      <c r="P117" s="358">
        <f t="shared" si="21"/>
        <v>105</v>
      </c>
      <c r="Q117" s="359">
        <f>(('Methane Leakage'!$C$6/'Methane Leakage'!$C$5)*102*'Emissions Factors'!$C$38*'Calcs - Power'!$G116+'Emissions Factors'!$C$37*('Calcs - Power'!$H116+'Calcs - Power'!$I116+'Calcs - Power'!$J116+'Calcs - Power'!$K116))</f>
        <v>27636.662494571523</v>
      </c>
      <c r="R117" s="366">
        <f>(('Methane Leakage'!$C$6/'Methane Leakage'!$C$5)*102*'Emissions Factors'!$C$38*'Calcs - Power'!$B116+'Emissions Factors'!$C$37*('Calcs - Power'!$C116+'Calcs - Power'!$D116+'Calcs - Power'!$E116+'Calcs - Power'!$F116))</f>
        <v>1771987.173060867</v>
      </c>
      <c r="S117" s="359">
        <f>(('Methane Leakage'!$C$6/'Methane Leakage'!$C$5)*102*'Emissions Factors'!$D$38*'Calcs - Power'!$G116+'Emissions Factors'!$D$37*('Calcs - Power'!$H116+'Calcs - Power'!$I116+'Calcs - Power'!$J116+'Calcs - Power'!$K116))</f>
        <v>27636.662494571523</v>
      </c>
      <c r="T117" s="366">
        <f>(('Methane Leakage'!$C$6/'Methane Leakage'!$C$5)*102*'Emissions Factors'!$D$38*'Calcs - Power'!$B116+'Emissions Factors'!$D$37*('Calcs - Power'!$C116+'Calcs - Power'!$D116+'Calcs - Power'!$E116+'Calcs - Power'!$F116))</f>
        <v>1771987.173060867</v>
      </c>
      <c r="U117" s="361">
        <f>(102*'Emissions Factors'!$C$36*'Calcs - Power'!$G116+'Emissions Factors'!$C$35*('Calcs - Power'!$H116+'Calcs - Power'!$I116+'Calcs - Power'!$J116+'Calcs - Power'!$K116))</f>
        <v>49400.199833338353</v>
      </c>
      <c r="V117" s="366">
        <f>(102*'Emissions Factors'!$C$36*'Calcs - Power'!$B116+'Emissions Factors'!$C$35*('Calcs - Power'!$C116+'Calcs - Power'!$D116+'Calcs - Power'!$E116+'Calcs - Power'!$F116))</f>
        <v>2957401.9234258397</v>
      </c>
      <c r="W117" s="359">
        <f>(102*'Emissions Factors'!$D$36*'Calcs - Power'!$G116+'Emissions Factors'!$D$35*('Calcs - Power'!$H116+'Calcs - Power'!$I116+'Calcs - Power'!$J116+'Calcs - Power'!$K116))</f>
        <v>49400.199833338353</v>
      </c>
      <c r="X117" s="366">
        <f>(102*'Emissions Factors'!$D$36*'Calcs - Power'!$B116+'Emissions Factors'!$D$35*('Calcs - Power'!$C116+'Calcs - Power'!$D116+'Calcs - Power'!$E116+'Calcs - Power'!$F116))</f>
        <v>2957401.9234258397</v>
      </c>
      <c r="Y117" s="359">
        <f>(102*'Emissions Factors'!$C$38*'Calcs - Power'!$G116+'Emissions Factors'!$C$37*('Calcs - Power'!$H116+'Calcs - Power'!$I116+'Calcs - Power'!$J116+'Calcs - Power'!$K116))</f>
        <v>27636.662494571523</v>
      </c>
      <c r="Z117" s="366">
        <f>(102*'Emissions Factors'!$C$38*'Calcs - Power'!$B116+'Emissions Factors'!$C$37*('Calcs - Power'!$C116+'Calcs - Power'!$D116+'Calcs - Power'!$E116+'Calcs - Power'!$F116))</f>
        <v>1771987.173060867</v>
      </c>
      <c r="AA117" s="359">
        <f>(102*'Emissions Factors'!$C$36*'Calcs - Power'!$G116+'Emissions Factors'!$C$35*('Calcs - Power'!$H116+'Calcs - Power'!$I116+'Calcs - Power'!$J116+'Calcs - Power'!$K116))</f>
        <v>49400.199833338353</v>
      </c>
      <c r="AB117" s="366">
        <f>(102*'Emissions Factors'!$C$36*'Calcs - Power'!$B116+'Emissions Factors'!$C$35*('Calcs - Power'!$C116+'Calcs - Power'!$D116+'Calcs - Power'!$E116+'Calcs - Power'!$F116))</f>
        <v>2957401.9234258397</v>
      </c>
      <c r="AI117" s="358">
        <f t="shared" si="22"/>
        <v>105</v>
      </c>
      <c r="AJ117" s="359">
        <f>(('Methane Leakage'!$G$6/'Methane Leakage'!$G$5)*102*'Emissions Factors'!$D$10*'Calcs - Power'!$G116+'Emissions Factors'!$D$11*('Calcs - Power'!$H116+'Calcs - Power'!$I116+'Calcs - Power'!$J116+'Calcs - Power'!$K116))</f>
        <v>3824.4462417884974</v>
      </c>
      <c r="AK117" s="366">
        <f>(('Methane Leakage'!$G$6/'Methane Leakage'!$G$5)*102*'Emissions Factors'!$D$10*'Calcs - Power'!$B116+'Emissions Factors'!$D$11*('Calcs - Power'!$C116+'Calcs - Power'!$D116+'Calcs - Power'!$E116+'Calcs - Power'!$F116))</f>
        <v>250989.76818397123</v>
      </c>
      <c r="AL117" s="359">
        <f>(102*'Emissions Factors'!$E$10*'Calcs - Power'!$G116+'Emissions Factors'!$E$11*('Calcs - Power'!H116+'Calcs - Power'!I116+'Calcs - Power'!J116+'Calcs - Power'!K116))</f>
        <v>4406.7900040259774</v>
      </c>
      <c r="AM117" s="366">
        <f>(102*'Emissions Factors'!$E$10*'Calcs - Power'!$B116+'Emissions Factors'!$E$11*('Calcs - Power'!C116+'Calcs - Power'!D116+'Calcs - Power'!E116+'Calcs - Power'!F116))</f>
        <v>265310.40193101659</v>
      </c>
      <c r="AN117" s="359">
        <f>(102*'Emissions Factors'!$D$10*'Calcs - Power'!$G116+'Emissions Factors'!$D$11*('Calcs - Power'!$H116+'Calcs - Power'!$I116+'Calcs - Power'!$J116+'Calcs - Power'!$K116))</f>
        <v>3824.4462417884974</v>
      </c>
      <c r="AO117" s="366">
        <f>(102*'Emissions Factors'!$D$10*'Calcs - Power'!$B116+'Emissions Factors'!$D$11*('Calcs - Power'!$C116+'Calcs - Power'!$D116+'Calcs - Power'!$E116+'Calcs - Power'!$F116))</f>
        <v>250989.76818397123</v>
      </c>
      <c r="AP117" s="367">
        <f>(102*'Emissions Factors'!$E$10*'Calcs - Power'!$G116+'Emissions Factors'!$E$11*('Calcs - Power'!H116+'Calcs - Power'!I116+'Calcs - Power'!J116+'Calcs - Power'!K116))</f>
        <v>4406.7900040259774</v>
      </c>
      <c r="AQ117" s="366">
        <f>(102*'Emissions Factors'!$E$10*'Calcs - Power'!$B116+'Emissions Factors'!$E$11*('Calcs - Power'!C116+'Calcs - Power'!D116+'Calcs - Power'!E116+'Calcs - Power'!F116))</f>
        <v>265310.40193101659</v>
      </c>
      <c r="AS117" s="357"/>
      <c r="AT117" s="357"/>
      <c r="AU117" s="357"/>
      <c r="AV117" s="357"/>
      <c r="AX117" s="358">
        <f t="shared" si="23"/>
        <v>105</v>
      </c>
      <c r="AY117" s="359">
        <f>(('Methane Leakage'!$G$6/'Methane Leakage'!$G$5)*102*'Emissions Factors'!$F$10*'Calcs - Power'!$G116+'Emissions Factors'!$F$11*('Calcs - Power'!$H116+'Calcs - Power'!$I116+'Calcs - Power'!$J116+'Calcs - Power'!$K116))</f>
        <v>5206528.4999138759</v>
      </c>
      <c r="AZ117" s="366">
        <f>(('Methane Leakage'!$G$6/'Methane Leakage'!$G$5)*102*'Emissions Factors'!$F$10*'Calcs - Power'!$B116+'Emissions Factors'!$F$11*('Calcs - Power'!$C116+'Calcs - Power'!$D116+'Calcs - Power'!$E116+'Calcs - Power'!$F116))</f>
        <v>333325159.37156188</v>
      </c>
      <c r="BA117" s="359">
        <f>(102*'Emissions Factors'!$G$10*'Calcs - Power'!$G116+'Emissions Factors'!$G$11*('Calcs - Power'!H116+'Calcs - Power'!I116+'Calcs - Power'!J116+'Calcs - Power'!K116))</f>
        <v>5084742.6528830845</v>
      </c>
      <c r="BB117" s="366">
        <f>(102*'Emissions Factors'!$G$10*'Calcs - Power'!$B116+'Emissions Factors'!$G$11*('Calcs - Power'!C116+'Calcs - Power'!D116+'Calcs - Power'!E116+'Calcs - Power'!F116))</f>
        <v>305222756.35487896</v>
      </c>
      <c r="BC117" s="359">
        <f>(102*'Emissions Factors'!$F$10*'Calcs - Power'!$G116+'Emissions Factors'!$F$11*('Calcs - Power'!$H116+'Calcs - Power'!$I116+'Calcs - Power'!$J116+'Calcs - Power'!$K116))</f>
        <v>5206528.4999138759</v>
      </c>
      <c r="BD117" s="366">
        <f>(102*'Emissions Factors'!$F$10*'Calcs - Power'!$B116+'Emissions Factors'!$F$11*('Calcs - Power'!$C116+'Calcs - Power'!$D116+'Calcs - Power'!$E116+'Calcs - Power'!$F116))</f>
        <v>333325159.37156188</v>
      </c>
      <c r="BE117" s="359">
        <f>(102*'Emissions Factors'!$G$10*'Calcs - Power'!$G116+'Emissions Factors'!$G$11*('Calcs - Power'!H116+'Calcs - Power'!I116+'Calcs - Power'!J116+'Calcs - Power'!K116))</f>
        <v>5084742.6528830845</v>
      </c>
      <c r="BF117" s="366">
        <f>(102*'Emissions Factors'!$G$10*'Calcs - Power'!$B116+'Emissions Factors'!$G$11*('Calcs - Power'!C116+'Calcs - Power'!D116+'Calcs - Power'!E116+'Calcs - Power'!F116))</f>
        <v>305222756.35487896</v>
      </c>
    </row>
    <row r="118" spans="1:58" x14ac:dyDescent="0.3">
      <c r="A118" s="351">
        <f t="shared" si="20"/>
        <v>106</v>
      </c>
      <c r="B118" s="352">
        <f t="shared" si="14"/>
        <v>0.99999999999999989</v>
      </c>
      <c r="C118" s="363">
        <f t="shared" si="15"/>
        <v>1</v>
      </c>
      <c r="D118" s="352">
        <f t="shared" si="16"/>
        <v>1</v>
      </c>
      <c r="E118" s="364">
        <f t="shared" si="17"/>
        <v>1</v>
      </c>
      <c r="F118" s="364">
        <f t="shared" si="18"/>
        <v>1</v>
      </c>
      <c r="G118" s="365">
        <f t="shared" si="19"/>
        <v>1</v>
      </c>
      <c r="P118" s="358">
        <f t="shared" si="21"/>
        <v>106</v>
      </c>
      <c r="Q118" s="359">
        <f>(('Methane Leakage'!$C$6/'Methane Leakage'!$C$5)*102*'Emissions Factors'!$C$38*'Calcs - Power'!$G117+'Emissions Factors'!$C$37*('Calcs - Power'!$H117+'Calcs - Power'!$I117+'Calcs - Power'!$J117+'Calcs - Power'!$K117))</f>
        <v>27807.566794274513</v>
      </c>
      <c r="R118" s="366">
        <f>(('Methane Leakage'!$C$6/'Methane Leakage'!$C$5)*102*'Emissions Factors'!$C$38*'Calcs - Power'!$B117+'Emissions Factors'!$C$37*('Calcs - Power'!$C117+'Calcs - Power'!$D117+'Calcs - Power'!$E117+'Calcs - Power'!$F117))</f>
        <v>1799709.3227725332</v>
      </c>
      <c r="S118" s="359">
        <f>(('Methane Leakage'!$C$6/'Methane Leakage'!$C$5)*102*'Emissions Factors'!$D$38*'Calcs - Power'!$G117+'Emissions Factors'!$D$37*('Calcs - Power'!$H117+'Calcs - Power'!$I117+'Calcs - Power'!$J117+'Calcs - Power'!$K117))</f>
        <v>27807.566794274513</v>
      </c>
      <c r="T118" s="366">
        <f>(('Methane Leakage'!$C$6/'Methane Leakage'!$C$5)*102*'Emissions Factors'!$D$38*'Calcs - Power'!$B117+'Emissions Factors'!$D$37*('Calcs - Power'!$C117+'Calcs - Power'!$D117+'Calcs - Power'!$E117+'Calcs - Power'!$F117))</f>
        <v>1799709.3227725332</v>
      </c>
      <c r="U118" s="361">
        <f>(102*'Emissions Factors'!$C$36*'Calcs - Power'!$G117+'Emissions Factors'!$C$35*('Calcs - Power'!$H117+'Calcs - Power'!$I117+'Calcs - Power'!$J117+'Calcs - Power'!$K117))</f>
        <v>49750.534304126275</v>
      </c>
      <c r="V118" s="366">
        <f>(102*'Emissions Factors'!$C$36*'Calcs - Power'!$B117+'Emissions Factors'!$C$35*('Calcs - Power'!$C117+'Calcs - Power'!$D117+'Calcs - Power'!$E117+'Calcs - Power'!$F117))</f>
        <v>3006977.3617579541</v>
      </c>
      <c r="W118" s="359">
        <f>(102*'Emissions Factors'!$D$36*'Calcs - Power'!$G117+'Emissions Factors'!$D$35*('Calcs - Power'!$H117+'Calcs - Power'!$I117+'Calcs - Power'!$J117+'Calcs - Power'!$K117))</f>
        <v>49750.534304126275</v>
      </c>
      <c r="X118" s="366">
        <f>(102*'Emissions Factors'!$D$36*'Calcs - Power'!$B117+'Emissions Factors'!$D$35*('Calcs - Power'!$C117+'Calcs - Power'!$D117+'Calcs - Power'!$E117+'Calcs - Power'!$F117))</f>
        <v>3006977.3617579541</v>
      </c>
      <c r="Y118" s="359">
        <f>(102*'Emissions Factors'!$C$38*'Calcs - Power'!$G117+'Emissions Factors'!$C$37*('Calcs - Power'!$H117+'Calcs - Power'!$I117+'Calcs - Power'!$J117+'Calcs - Power'!$K117))</f>
        <v>27807.566794274513</v>
      </c>
      <c r="Z118" s="366">
        <f>(102*'Emissions Factors'!$C$38*'Calcs - Power'!$B117+'Emissions Factors'!$C$37*('Calcs - Power'!$C117+'Calcs - Power'!$D117+'Calcs - Power'!$E117+'Calcs - Power'!$F117))</f>
        <v>1799709.3227725332</v>
      </c>
      <c r="AA118" s="359">
        <f>(102*'Emissions Factors'!$C$36*'Calcs - Power'!$G117+'Emissions Factors'!$C$35*('Calcs - Power'!$H117+'Calcs - Power'!$I117+'Calcs - Power'!$J117+'Calcs - Power'!$K117))</f>
        <v>49750.534304126275</v>
      </c>
      <c r="AB118" s="366">
        <f>(102*'Emissions Factors'!$C$36*'Calcs - Power'!$B117+'Emissions Factors'!$C$35*('Calcs - Power'!$C117+'Calcs - Power'!$D117+'Calcs - Power'!$E117+'Calcs - Power'!$F117))</f>
        <v>3006977.3617579541</v>
      </c>
      <c r="AI118" s="358">
        <f t="shared" si="22"/>
        <v>106</v>
      </c>
      <c r="AJ118" s="359">
        <f>(('Methane Leakage'!$G$6/'Methane Leakage'!$G$5)*102*'Emissions Factors'!$D$10*'Calcs - Power'!$G117+'Emissions Factors'!$D$11*('Calcs - Power'!$H117+'Calcs - Power'!$I117+'Calcs - Power'!$J117+'Calcs - Power'!$K117))</f>
        <v>3846.8629134859102</v>
      </c>
      <c r="AK118" s="366">
        <f>(('Methane Leakage'!$G$6/'Methane Leakage'!$G$5)*102*'Emissions Factors'!$D$10*'Calcs - Power'!$B117+'Emissions Factors'!$D$11*('Calcs - Power'!$C117+'Calcs - Power'!$D117+'Calcs - Power'!$E117+'Calcs - Power'!$F117))</f>
        <v>254825.4273782738</v>
      </c>
      <c r="AL118" s="359">
        <f>(102*'Emissions Factors'!$E$10*'Calcs - Power'!$G117+'Emissions Factors'!$E$11*('Calcs - Power'!H117+'Calcs - Power'!I117+'Calcs - Power'!J117+'Calcs - Power'!K117))</f>
        <v>4437.7231620660696</v>
      </c>
      <c r="AM118" s="366">
        <f>(102*'Emissions Factors'!$E$10*'Calcs - Power'!$B117+'Emissions Factors'!$E$11*('Calcs - Power'!C117+'Calcs - Power'!D117+'Calcs - Power'!E117+'Calcs - Power'!F117))</f>
        <v>269732.66481018526</v>
      </c>
      <c r="AN118" s="359">
        <f>(102*'Emissions Factors'!$D$10*'Calcs - Power'!$G117+'Emissions Factors'!$D$11*('Calcs - Power'!$H117+'Calcs - Power'!$I117+'Calcs - Power'!$J117+'Calcs - Power'!$K117))</f>
        <v>3846.8629134859102</v>
      </c>
      <c r="AO118" s="366">
        <f>(102*'Emissions Factors'!$D$10*'Calcs - Power'!$B117+'Emissions Factors'!$D$11*('Calcs - Power'!$C117+'Calcs - Power'!$D117+'Calcs - Power'!$E117+'Calcs - Power'!$F117))</f>
        <v>254825.4273782738</v>
      </c>
      <c r="AP118" s="367">
        <f>(102*'Emissions Factors'!$E$10*'Calcs - Power'!$G117+'Emissions Factors'!$E$11*('Calcs - Power'!H117+'Calcs - Power'!I117+'Calcs - Power'!J117+'Calcs - Power'!K117))</f>
        <v>4437.7231620660696</v>
      </c>
      <c r="AQ118" s="366">
        <f>(102*'Emissions Factors'!$E$10*'Calcs - Power'!$B117+'Emissions Factors'!$E$11*('Calcs - Power'!C117+'Calcs - Power'!D117+'Calcs - Power'!E117+'Calcs - Power'!F117))</f>
        <v>269732.66481018526</v>
      </c>
      <c r="AS118" s="357"/>
      <c r="AT118" s="357"/>
      <c r="AU118" s="357"/>
      <c r="AV118" s="357"/>
      <c r="AX118" s="358">
        <f t="shared" si="23"/>
        <v>106</v>
      </c>
      <c r="AY118" s="359">
        <f>(('Methane Leakage'!$G$6/'Methane Leakage'!$G$5)*102*'Emissions Factors'!$F$10*'Calcs - Power'!$G117+'Emissions Factors'!$F$11*('Calcs - Power'!$H117+'Calcs - Power'!$I117+'Calcs - Power'!$J117+'Calcs - Power'!$K117))</f>
        <v>5238832.9731134828</v>
      </c>
      <c r="AZ118" s="366">
        <f>(('Methane Leakage'!$G$6/'Methane Leakage'!$G$5)*102*'Emissions Factors'!$F$10*'Calcs - Power'!$B117+'Emissions Factors'!$F$11*('Calcs - Power'!$C117+'Calcs - Power'!$D117+'Calcs - Power'!$E117+'Calcs - Power'!$F117))</f>
        <v>338547846.73502827</v>
      </c>
      <c r="BA118" s="359">
        <f>(102*'Emissions Factors'!$G$10*'Calcs - Power'!$G117+'Emissions Factors'!$G$11*('Calcs - Power'!H117+'Calcs - Power'!I117+'Calcs - Power'!J117+'Calcs - Power'!K117))</f>
        <v>5120627.6380182048</v>
      </c>
      <c r="BB118" s="366">
        <f>(102*'Emissions Factors'!$G$10*'Calcs - Power'!$B117+'Emissions Factors'!$G$11*('Calcs - Power'!C117+'Calcs - Power'!D117+'Calcs - Power'!E117+'Calcs - Power'!F117))</f>
        <v>310325448.80199277</v>
      </c>
      <c r="BC118" s="359">
        <f>(102*'Emissions Factors'!$F$10*'Calcs - Power'!$G117+'Emissions Factors'!$F$11*('Calcs - Power'!$H117+'Calcs - Power'!$I117+'Calcs - Power'!$J117+'Calcs - Power'!$K117))</f>
        <v>5238832.9731134828</v>
      </c>
      <c r="BD118" s="366">
        <f>(102*'Emissions Factors'!$F$10*'Calcs - Power'!$B117+'Emissions Factors'!$F$11*('Calcs - Power'!$C117+'Calcs - Power'!$D117+'Calcs - Power'!$E117+'Calcs - Power'!$F117))</f>
        <v>338547846.73502827</v>
      </c>
      <c r="BE118" s="359">
        <f>(102*'Emissions Factors'!$G$10*'Calcs - Power'!$G117+'Emissions Factors'!$G$11*('Calcs - Power'!H117+'Calcs - Power'!I117+'Calcs - Power'!J117+'Calcs - Power'!K117))</f>
        <v>5120627.6380182048</v>
      </c>
      <c r="BF118" s="366">
        <f>(102*'Emissions Factors'!$G$10*'Calcs - Power'!$B117+'Emissions Factors'!$G$11*('Calcs - Power'!C117+'Calcs - Power'!D117+'Calcs - Power'!E117+'Calcs - Power'!F117))</f>
        <v>310325448.80199277</v>
      </c>
    </row>
    <row r="119" spans="1:58" x14ac:dyDescent="0.3">
      <c r="A119" s="351">
        <f t="shared" si="20"/>
        <v>107</v>
      </c>
      <c r="B119" s="352">
        <f t="shared" si="14"/>
        <v>0.99999999999999989</v>
      </c>
      <c r="C119" s="363">
        <f t="shared" si="15"/>
        <v>0.99999999999999989</v>
      </c>
      <c r="D119" s="352">
        <f t="shared" si="16"/>
        <v>1</v>
      </c>
      <c r="E119" s="364">
        <f t="shared" si="17"/>
        <v>1</v>
      </c>
      <c r="F119" s="364">
        <f t="shared" si="18"/>
        <v>1</v>
      </c>
      <c r="G119" s="365">
        <f t="shared" si="19"/>
        <v>1</v>
      </c>
      <c r="P119" s="358">
        <f t="shared" si="21"/>
        <v>107</v>
      </c>
      <c r="Q119" s="359">
        <f>(('Methane Leakage'!$C$6/'Methane Leakage'!$C$5)*102*'Emissions Factors'!$C$38*'Calcs - Power'!$G118+'Emissions Factors'!$C$37*('Calcs - Power'!$H118+'Calcs - Power'!$I118+'Calcs - Power'!$J118+'Calcs - Power'!$K118))</f>
        <v>27978.052347128709</v>
      </c>
      <c r="R119" s="366">
        <f>(('Methane Leakage'!$C$6/'Methane Leakage'!$C$5)*102*'Emissions Factors'!$C$38*'Calcs - Power'!$B118+'Emissions Factors'!$C$37*('Calcs - Power'!$C118+'Calcs - Power'!$D118+'Calcs - Power'!$E118+'Calcs - Power'!$F118))</f>
        <v>1827602.1670685085</v>
      </c>
      <c r="S119" s="359">
        <f>(('Methane Leakage'!$C$6/'Methane Leakage'!$C$5)*102*'Emissions Factors'!$D$38*'Calcs - Power'!$G118+'Emissions Factors'!$D$37*('Calcs - Power'!$H118+'Calcs - Power'!$I118+'Calcs - Power'!$J118+'Calcs - Power'!$K118))</f>
        <v>27978.052347128709</v>
      </c>
      <c r="T119" s="366">
        <f>(('Methane Leakage'!$C$6/'Methane Leakage'!$C$5)*102*'Emissions Factors'!$D$38*'Calcs - Power'!$B118+'Emissions Factors'!$D$37*('Calcs - Power'!$C118+'Calcs - Power'!$D118+'Calcs - Power'!$E118+'Calcs - Power'!$F118))</f>
        <v>1827602.1670685085</v>
      </c>
      <c r="U119" s="361">
        <f>(102*'Emissions Factors'!$C$36*'Calcs - Power'!$G118+'Emissions Factors'!$C$35*('Calcs - Power'!$H118+'Calcs - Power'!$I118+'Calcs - Power'!$J118+'Calcs - Power'!$K118))</f>
        <v>50100.017528198376</v>
      </c>
      <c r="V119" s="366">
        <f>(102*'Emissions Factors'!$C$36*'Calcs - Power'!$B118+'Emissions Factors'!$C$35*('Calcs - Power'!$C118+'Calcs - Power'!$D118+'Calcs - Power'!$E118+'Calcs - Power'!$F118))</f>
        <v>3056902.7082874393</v>
      </c>
      <c r="W119" s="359">
        <f>(102*'Emissions Factors'!$D$36*'Calcs - Power'!$G118+'Emissions Factors'!$D$35*('Calcs - Power'!$H118+'Calcs - Power'!$I118+'Calcs - Power'!$J118+'Calcs - Power'!$K118))</f>
        <v>50100.017528198376</v>
      </c>
      <c r="X119" s="366">
        <f>(102*'Emissions Factors'!$D$36*'Calcs - Power'!$B118+'Emissions Factors'!$D$35*('Calcs - Power'!$C118+'Calcs - Power'!$D118+'Calcs - Power'!$E118+'Calcs - Power'!$F118))</f>
        <v>3056902.7082874393</v>
      </c>
      <c r="Y119" s="359">
        <f>(102*'Emissions Factors'!$C$38*'Calcs - Power'!$G118+'Emissions Factors'!$C$37*('Calcs - Power'!$H118+'Calcs - Power'!$I118+'Calcs - Power'!$J118+'Calcs - Power'!$K118))</f>
        <v>27978.052347128709</v>
      </c>
      <c r="Z119" s="366">
        <f>(102*'Emissions Factors'!$C$38*'Calcs - Power'!$B118+'Emissions Factors'!$C$37*('Calcs - Power'!$C118+'Calcs - Power'!$D118+'Calcs - Power'!$E118+'Calcs - Power'!$F118))</f>
        <v>1827602.1670685085</v>
      </c>
      <c r="AA119" s="359">
        <f>(102*'Emissions Factors'!$C$36*'Calcs - Power'!$G118+'Emissions Factors'!$C$35*('Calcs - Power'!$H118+'Calcs - Power'!$I118+'Calcs - Power'!$J118+'Calcs - Power'!$K118))</f>
        <v>50100.017528198376</v>
      </c>
      <c r="AB119" s="366">
        <f>(102*'Emissions Factors'!$C$36*'Calcs - Power'!$B118+'Emissions Factors'!$C$35*('Calcs - Power'!$C118+'Calcs - Power'!$D118+'Calcs - Power'!$E118+'Calcs - Power'!$F118))</f>
        <v>3056902.7082874393</v>
      </c>
      <c r="AI119" s="358">
        <f t="shared" si="22"/>
        <v>107</v>
      </c>
      <c r="AJ119" s="359">
        <f>(('Methane Leakage'!$G$6/'Methane Leakage'!$G$5)*102*'Emissions Factors'!$D$10*'Calcs - Power'!$G118+'Emissions Factors'!$D$11*('Calcs - Power'!$H118+'Calcs - Power'!$I118+'Calcs - Power'!$J118+'Calcs - Power'!$K118))</f>
        <v>3869.2244639090654</v>
      </c>
      <c r="AK119" s="366">
        <f>(('Methane Leakage'!$G$6/'Methane Leakage'!$G$5)*102*'Emissions Factors'!$D$10*'Calcs - Power'!$B118+'Emissions Factors'!$D$11*('Calcs - Power'!$C118+'Calcs - Power'!$D118+'Calcs - Power'!$E118+'Calcs - Power'!$F118))</f>
        <v>258683.47563738097</v>
      </c>
      <c r="AL119" s="359">
        <f>(102*'Emissions Factors'!$E$10*'Calcs - Power'!$G118+'Emissions Factors'!$E$11*('Calcs - Power'!H118+'Calcs - Power'!I118+'Calcs - Power'!J118+'Calcs - Power'!K118))</f>
        <v>4468.5811141297227</v>
      </c>
      <c r="AM119" s="366">
        <f>(102*'Emissions Factors'!$E$10*'Calcs - Power'!$B118+'Emissions Factors'!$E$11*('Calcs - Power'!C118+'Calcs - Power'!D118+'Calcs - Power'!E118+'Calcs - Power'!F118))</f>
        <v>274185.82318669232</v>
      </c>
      <c r="AN119" s="359">
        <f>(102*'Emissions Factors'!$D$10*'Calcs - Power'!$G118+'Emissions Factors'!$D$11*('Calcs - Power'!$H118+'Calcs - Power'!$I118+'Calcs - Power'!$J118+'Calcs - Power'!$K118))</f>
        <v>3869.2244639090654</v>
      </c>
      <c r="AO119" s="366">
        <f>(102*'Emissions Factors'!$D$10*'Calcs - Power'!$B118+'Emissions Factors'!$D$11*('Calcs - Power'!$C118+'Calcs - Power'!$D118+'Calcs - Power'!$E118+'Calcs - Power'!$F118))</f>
        <v>258683.47563738097</v>
      </c>
      <c r="AP119" s="367">
        <f>(102*'Emissions Factors'!$E$10*'Calcs - Power'!$G118+'Emissions Factors'!$E$11*('Calcs - Power'!H118+'Calcs - Power'!I118+'Calcs - Power'!J118+'Calcs - Power'!K118))</f>
        <v>4468.5811141297227</v>
      </c>
      <c r="AQ119" s="366">
        <f>(102*'Emissions Factors'!$E$10*'Calcs - Power'!$B118+'Emissions Factors'!$E$11*('Calcs - Power'!C118+'Calcs - Power'!D118+'Calcs - Power'!E118+'Calcs - Power'!F118))</f>
        <v>274185.82318669232</v>
      </c>
      <c r="AS119" s="357"/>
      <c r="AT119" s="357"/>
      <c r="AU119" s="357"/>
      <c r="AV119" s="357"/>
      <c r="AX119" s="358">
        <f t="shared" si="23"/>
        <v>107</v>
      </c>
      <c r="AY119" s="359">
        <f>(('Methane Leakage'!$G$6/'Methane Leakage'!$G$5)*102*'Emissions Factors'!$F$10*'Calcs - Power'!$G118+'Emissions Factors'!$F$11*('Calcs - Power'!$H118+'Calcs - Power'!$I118+'Calcs - Power'!$J118+'Calcs - Power'!$K118))</f>
        <v>5271058.3115358148</v>
      </c>
      <c r="AZ119" s="366">
        <f>(('Methane Leakage'!$G$6/'Methane Leakage'!$G$5)*102*'Emissions Factors'!$F$10*'Calcs - Power'!$B118+'Emissions Factors'!$F$11*('Calcs - Power'!$C118+'Calcs - Power'!$D118+'Calcs - Power'!$E118+'Calcs - Power'!$F118))</f>
        <v>343802798.93978834</v>
      </c>
      <c r="BA119" s="359">
        <f>(102*'Emissions Factors'!$G$10*'Calcs - Power'!$G118+'Emissions Factors'!$G$11*('Calcs - Power'!H118+'Calcs - Power'!I118+'Calcs - Power'!J118+'Calcs - Power'!K118))</f>
        <v>5156425.4051469322</v>
      </c>
      <c r="BB119" s="366">
        <f>(102*'Emissions Factors'!$G$10*'Calcs - Power'!$B118+'Emissions Factors'!$G$11*('Calcs - Power'!C118+'Calcs - Power'!D118+'Calcs - Power'!E118+'Calcs - Power'!F118))</f>
        <v>315463982.55847925</v>
      </c>
      <c r="BC119" s="359">
        <f>(102*'Emissions Factors'!$F$10*'Calcs - Power'!$G118+'Emissions Factors'!$F$11*('Calcs - Power'!$H118+'Calcs - Power'!$I118+'Calcs - Power'!$J118+'Calcs - Power'!$K118))</f>
        <v>5271058.3115358148</v>
      </c>
      <c r="BD119" s="366">
        <f>(102*'Emissions Factors'!$F$10*'Calcs - Power'!$B118+'Emissions Factors'!$F$11*('Calcs - Power'!$C118+'Calcs - Power'!$D118+'Calcs - Power'!$E118+'Calcs - Power'!$F118))</f>
        <v>343802798.93978834</v>
      </c>
      <c r="BE119" s="359">
        <f>(102*'Emissions Factors'!$G$10*'Calcs - Power'!$G118+'Emissions Factors'!$G$11*('Calcs - Power'!H118+'Calcs - Power'!I118+'Calcs - Power'!J118+'Calcs - Power'!K118))</f>
        <v>5156425.4051469322</v>
      </c>
      <c r="BF119" s="366">
        <f>(102*'Emissions Factors'!$G$10*'Calcs - Power'!$B118+'Emissions Factors'!$G$11*('Calcs - Power'!C118+'Calcs - Power'!D118+'Calcs - Power'!E118+'Calcs - Power'!F118))</f>
        <v>315463982.55847925</v>
      </c>
    </row>
    <row r="120" spans="1:58" x14ac:dyDescent="0.3">
      <c r="A120" s="351">
        <f t="shared" si="20"/>
        <v>108</v>
      </c>
      <c r="B120" s="352">
        <f t="shared" si="14"/>
        <v>0.99999999999999989</v>
      </c>
      <c r="C120" s="363">
        <f t="shared" si="15"/>
        <v>0.99999999999999978</v>
      </c>
      <c r="D120" s="352">
        <f t="shared" si="16"/>
        <v>1</v>
      </c>
      <c r="E120" s="364">
        <f t="shared" si="17"/>
        <v>1</v>
      </c>
      <c r="F120" s="364">
        <f t="shared" si="18"/>
        <v>1</v>
      </c>
      <c r="G120" s="365">
        <f t="shared" si="19"/>
        <v>1</v>
      </c>
      <c r="P120" s="358">
        <f t="shared" si="21"/>
        <v>108</v>
      </c>
      <c r="Q120" s="359">
        <f>(('Methane Leakage'!$C$6/'Methane Leakage'!$C$5)*102*'Emissions Factors'!$C$38*'Calcs - Power'!$G119+'Emissions Factors'!$C$37*('Calcs - Power'!$H119+'Calcs - Power'!$I119+'Calcs - Power'!$J119+'Calcs - Power'!$K119))</f>
        <v>28148.123196100008</v>
      </c>
      <c r="R120" s="366">
        <f>(('Methane Leakage'!$C$6/'Methane Leakage'!$C$5)*102*'Emissions Factors'!$C$38*'Calcs - Power'!$B119+'Emissions Factors'!$C$37*('Calcs - Power'!$C119+'Calcs - Power'!$D119+'Calcs - Power'!$E119+'Calcs - Power'!$F119))</f>
        <v>1855665.2892334645</v>
      </c>
      <c r="S120" s="359">
        <f>(('Methane Leakage'!$C$6/'Methane Leakage'!$C$5)*102*'Emissions Factors'!$D$38*'Calcs - Power'!$G119+'Emissions Factors'!$D$37*('Calcs - Power'!$H119+'Calcs - Power'!$I119+'Calcs - Power'!$J119+'Calcs - Power'!$K119))</f>
        <v>28148.123196100008</v>
      </c>
      <c r="T120" s="366">
        <f>(('Methane Leakage'!$C$6/'Methane Leakage'!$C$5)*102*'Emissions Factors'!$D$38*'Calcs - Power'!$B119+'Emissions Factors'!$D$37*('Calcs - Power'!$C119+'Calcs - Power'!$D119+'Calcs - Power'!$E119+'Calcs - Power'!$F119))</f>
        <v>1855665.2892334645</v>
      </c>
      <c r="U120" s="361">
        <f>(102*'Emissions Factors'!$C$36*'Calcs - Power'!$G119+'Emissions Factors'!$C$35*('Calcs - Power'!$H119+'Calcs - Power'!$I119+'Calcs - Power'!$J119+'Calcs - Power'!$K119))</f>
        <v>50448.657206678552</v>
      </c>
      <c r="V120" s="366">
        <f>(102*'Emissions Factors'!$C$36*'Calcs - Power'!$B119+'Emissions Factors'!$C$35*('Calcs - Power'!$C119+'Calcs - Power'!$D119+'Calcs - Power'!$E119+'Calcs - Power'!$F119))</f>
        <v>3107177.1156346337</v>
      </c>
      <c r="W120" s="359">
        <f>(102*'Emissions Factors'!$D$36*'Calcs - Power'!$G119+'Emissions Factors'!$D$35*('Calcs - Power'!$H119+'Calcs - Power'!$I119+'Calcs - Power'!$J119+'Calcs - Power'!$K119))</f>
        <v>50448.657206678552</v>
      </c>
      <c r="X120" s="366">
        <f>(102*'Emissions Factors'!$D$36*'Calcs - Power'!$B119+'Emissions Factors'!$D$35*('Calcs - Power'!$C119+'Calcs - Power'!$D119+'Calcs - Power'!$E119+'Calcs - Power'!$F119))</f>
        <v>3107177.1156346337</v>
      </c>
      <c r="Y120" s="359">
        <f>(102*'Emissions Factors'!$C$38*'Calcs - Power'!$G119+'Emissions Factors'!$C$37*('Calcs - Power'!$H119+'Calcs - Power'!$I119+'Calcs - Power'!$J119+'Calcs - Power'!$K119))</f>
        <v>28148.123196100008</v>
      </c>
      <c r="Z120" s="366">
        <f>(102*'Emissions Factors'!$C$38*'Calcs - Power'!$B119+'Emissions Factors'!$C$37*('Calcs - Power'!$C119+'Calcs - Power'!$D119+'Calcs - Power'!$E119+'Calcs - Power'!$F119))</f>
        <v>1855665.2892334645</v>
      </c>
      <c r="AA120" s="359">
        <f>(102*'Emissions Factors'!$C$36*'Calcs - Power'!$G119+'Emissions Factors'!$C$35*('Calcs - Power'!$H119+'Calcs - Power'!$I119+'Calcs - Power'!$J119+'Calcs - Power'!$K119))</f>
        <v>50448.657206678552</v>
      </c>
      <c r="AB120" s="366">
        <f>(102*'Emissions Factors'!$C$36*'Calcs - Power'!$B119+'Emissions Factors'!$C$35*('Calcs - Power'!$C119+'Calcs - Power'!$D119+'Calcs - Power'!$E119+'Calcs - Power'!$F119))</f>
        <v>3107177.1156346337</v>
      </c>
      <c r="AI120" s="358">
        <f t="shared" si="22"/>
        <v>108</v>
      </c>
      <c r="AJ120" s="359">
        <f>(('Methane Leakage'!$G$6/'Methane Leakage'!$G$5)*102*'Emissions Factors'!$D$10*'Calcs - Power'!$G119+'Emissions Factors'!$D$11*('Calcs - Power'!$H119+'Calcs - Power'!$I119+'Calcs - Power'!$J119+'Calcs - Power'!$K119))</f>
        <v>3891.5314394870893</v>
      </c>
      <c r="AK120" s="366">
        <f>(('Methane Leakage'!$G$6/'Methane Leakage'!$G$5)*102*'Emissions Factors'!$D$10*'Calcs - Power'!$B119+'Emissions Factors'!$D$11*('Calcs - Power'!$C119+'Calcs - Power'!$D119+'Calcs - Power'!$E119+'Calcs - Power'!$F119))</f>
        <v>262563.858114662</v>
      </c>
      <c r="AL120" s="359">
        <f>(102*'Emissions Factors'!$E$10*'Calcs - Power'!$G119+'Emissions Factors'!$E$11*('Calcs - Power'!H119+'Calcs - Power'!I119+'Calcs - Power'!J119+'Calcs - Power'!K119))</f>
        <v>4499.3645438310132</v>
      </c>
      <c r="AM120" s="366">
        <f>(102*'Emissions Factors'!$E$10*'Calcs - Power'!$B119+'Emissions Factors'!$E$11*('Calcs - Power'!C119+'Calcs - Power'!D119+'Calcs - Power'!E119+'Calcs - Power'!F119))</f>
        <v>278669.80219784996</v>
      </c>
      <c r="AN120" s="359">
        <f>(102*'Emissions Factors'!$D$10*'Calcs - Power'!$G119+'Emissions Factors'!$D$11*('Calcs - Power'!$H119+'Calcs - Power'!$I119+'Calcs - Power'!$J119+'Calcs - Power'!$K119))</f>
        <v>3891.5314394870893</v>
      </c>
      <c r="AO120" s="366">
        <f>(102*'Emissions Factors'!$D$10*'Calcs - Power'!$B119+'Emissions Factors'!$D$11*('Calcs - Power'!$C119+'Calcs - Power'!$D119+'Calcs - Power'!$E119+'Calcs - Power'!$F119))</f>
        <v>262563.858114662</v>
      </c>
      <c r="AP120" s="367">
        <f>(102*'Emissions Factors'!$E$10*'Calcs - Power'!$G119+'Emissions Factors'!$E$11*('Calcs - Power'!H119+'Calcs - Power'!I119+'Calcs - Power'!J119+'Calcs - Power'!K119))</f>
        <v>4499.3645438310132</v>
      </c>
      <c r="AQ120" s="366">
        <f>(102*'Emissions Factors'!$E$10*'Calcs - Power'!$B119+'Emissions Factors'!$E$11*('Calcs - Power'!C119+'Calcs - Power'!D119+'Calcs - Power'!E119+'Calcs - Power'!F119))</f>
        <v>278669.80219784996</v>
      </c>
      <c r="AS120" s="357"/>
      <c r="AT120" s="357"/>
      <c r="AU120" s="357"/>
      <c r="AV120" s="357"/>
      <c r="AX120" s="358">
        <f t="shared" si="23"/>
        <v>108</v>
      </c>
      <c r="AY120" s="359">
        <f>(('Methane Leakage'!$G$6/'Methane Leakage'!$G$5)*102*'Emissions Factors'!$F$10*'Calcs - Power'!$G119+'Emissions Factors'!$F$11*('Calcs - Power'!$H119+'Calcs - Power'!$I119+'Calcs - Power'!$J119+'Calcs - Power'!$K119))</f>
        <v>5303205.2779803174</v>
      </c>
      <c r="AZ120" s="366">
        <f>(('Methane Leakage'!$G$6/'Methane Leakage'!$G$5)*102*'Emissions Factors'!$F$10*'Calcs - Power'!$B119+'Emissions Factors'!$F$11*('Calcs - Power'!$C119+'Calcs - Power'!$D119+'Calcs - Power'!$E119+'Calcs - Power'!$F119))</f>
        <v>349089937.23435211</v>
      </c>
      <c r="BA120" s="359">
        <f>(102*'Emissions Factors'!$G$10*'Calcs - Power'!$G119+'Emissions Factors'!$G$11*('Calcs - Power'!H119+'Calcs - Power'!I119+'Calcs - Power'!J119+'Calcs - Power'!K119))</f>
        <v>5192136.745093802</v>
      </c>
      <c r="BB120" s="366">
        <f>(102*'Emissions Factors'!$G$10*'Calcs - Power'!$B119+'Emissions Factors'!$G$11*('Calcs - Power'!C119+'Calcs - Power'!D119+'Calcs - Power'!E119+'Calcs - Power'!F119))</f>
        <v>320638270.8034476</v>
      </c>
      <c r="BC120" s="359">
        <f>(102*'Emissions Factors'!$F$10*'Calcs - Power'!$G119+'Emissions Factors'!$F$11*('Calcs - Power'!$H119+'Calcs - Power'!$I119+'Calcs - Power'!$J119+'Calcs - Power'!$K119))</f>
        <v>5303205.2779803174</v>
      </c>
      <c r="BD120" s="366">
        <f>(102*'Emissions Factors'!$F$10*'Calcs - Power'!$B119+'Emissions Factors'!$F$11*('Calcs - Power'!$C119+'Calcs - Power'!$D119+'Calcs - Power'!$E119+'Calcs - Power'!$F119))</f>
        <v>349089937.23435211</v>
      </c>
      <c r="BE120" s="359">
        <f>(102*'Emissions Factors'!$G$10*'Calcs - Power'!$G119+'Emissions Factors'!$G$11*('Calcs - Power'!H119+'Calcs - Power'!I119+'Calcs - Power'!J119+'Calcs - Power'!K119))</f>
        <v>5192136.745093802</v>
      </c>
      <c r="BF120" s="366">
        <f>(102*'Emissions Factors'!$G$10*'Calcs - Power'!$B119+'Emissions Factors'!$G$11*('Calcs - Power'!C119+'Calcs - Power'!D119+'Calcs - Power'!E119+'Calcs - Power'!F119))</f>
        <v>320638270.8034476</v>
      </c>
    </row>
    <row r="121" spans="1:58" x14ac:dyDescent="0.3">
      <c r="A121" s="351">
        <f t="shared" si="20"/>
        <v>109</v>
      </c>
      <c r="B121" s="352">
        <f t="shared" si="14"/>
        <v>0.99999999999999978</v>
      </c>
      <c r="C121" s="363">
        <f t="shared" si="15"/>
        <v>0.99999999999999989</v>
      </c>
      <c r="D121" s="352">
        <f t="shared" si="16"/>
        <v>1</v>
      </c>
      <c r="E121" s="364">
        <f t="shared" si="17"/>
        <v>1</v>
      </c>
      <c r="F121" s="364">
        <f t="shared" si="18"/>
        <v>1</v>
      </c>
      <c r="G121" s="365">
        <f t="shared" si="19"/>
        <v>1</v>
      </c>
      <c r="P121" s="358">
        <f t="shared" si="21"/>
        <v>109</v>
      </c>
      <c r="Q121" s="359">
        <f>(('Methane Leakage'!$C$6/'Methane Leakage'!$C$5)*102*'Emissions Factors'!$C$38*'Calcs - Power'!$G120+'Emissions Factors'!$C$37*('Calcs - Power'!$H120+'Calcs - Power'!$I120+'Calcs - Power'!$J120+'Calcs - Power'!$K120))</f>
        <v>28317.783266970531</v>
      </c>
      <c r="R121" s="366">
        <f>(('Methane Leakage'!$C$6/'Methane Leakage'!$C$5)*102*'Emissions Factors'!$C$38*'Calcs - Power'!$B120+'Emissions Factors'!$C$37*('Calcs - Power'!$C120+'Calcs - Power'!$D120+'Calcs - Power'!$E120+'Calcs - Power'!$F120))</f>
        <v>1883898.2765359068</v>
      </c>
      <c r="S121" s="359">
        <f>(('Methane Leakage'!$C$6/'Methane Leakage'!$C$5)*102*'Emissions Factors'!$D$38*'Calcs - Power'!$G120+'Emissions Factors'!$D$37*('Calcs - Power'!$H120+'Calcs - Power'!$I120+'Calcs - Power'!$J120+'Calcs - Power'!$K120))</f>
        <v>28317.783266970531</v>
      </c>
      <c r="T121" s="366">
        <f>(('Methane Leakage'!$C$6/'Methane Leakage'!$C$5)*102*'Emissions Factors'!$D$38*'Calcs - Power'!$B120+'Emissions Factors'!$D$37*('Calcs - Power'!$C120+'Calcs - Power'!$D120+'Calcs - Power'!$E120+'Calcs - Power'!$F120))</f>
        <v>1883898.2765359068</v>
      </c>
      <c r="U121" s="361">
        <f>(102*'Emissions Factors'!$C$36*'Calcs - Power'!$G120+'Emissions Factors'!$C$35*('Calcs - Power'!$H120+'Calcs - Power'!$I120+'Calcs - Power'!$J120+'Calcs - Power'!$K120))</f>
        <v>50796.460847482158</v>
      </c>
      <c r="V121" s="366">
        <f>(102*'Emissions Factors'!$C$36*'Calcs - Power'!$B120+'Emissions Factors'!$C$35*('Calcs - Power'!$C120+'Calcs - Power'!$D120+'Calcs - Power'!$E120+'Calcs - Power'!$F120))</f>
        <v>3157799.744023616</v>
      </c>
      <c r="W121" s="359">
        <f>(102*'Emissions Factors'!$D$36*'Calcs - Power'!$G120+'Emissions Factors'!$D$35*('Calcs - Power'!$H120+'Calcs - Power'!$I120+'Calcs - Power'!$J120+'Calcs - Power'!$K120))</f>
        <v>50796.460847482158</v>
      </c>
      <c r="X121" s="366">
        <f>(102*'Emissions Factors'!$D$36*'Calcs - Power'!$B120+'Emissions Factors'!$D$35*('Calcs - Power'!$C120+'Calcs - Power'!$D120+'Calcs - Power'!$E120+'Calcs - Power'!$F120))</f>
        <v>3157799.744023616</v>
      </c>
      <c r="Y121" s="359">
        <f>(102*'Emissions Factors'!$C$38*'Calcs - Power'!$G120+'Emissions Factors'!$C$37*('Calcs - Power'!$H120+'Calcs - Power'!$I120+'Calcs - Power'!$J120+'Calcs - Power'!$K120))</f>
        <v>28317.783266970531</v>
      </c>
      <c r="Z121" s="366">
        <f>(102*'Emissions Factors'!$C$38*'Calcs - Power'!$B120+'Emissions Factors'!$C$37*('Calcs - Power'!$C120+'Calcs - Power'!$D120+'Calcs - Power'!$E120+'Calcs - Power'!$F120))</f>
        <v>1883898.2765359068</v>
      </c>
      <c r="AA121" s="359">
        <f>(102*'Emissions Factors'!$C$36*'Calcs - Power'!$G120+'Emissions Factors'!$C$35*('Calcs - Power'!$H120+'Calcs - Power'!$I120+'Calcs - Power'!$J120+'Calcs - Power'!$K120))</f>
        <v>50796.460847482158</v>
      </c>
      <c r="AB121" s="366">
        <f>(102*'Emissions Factors'!$C$36*'Calcs - Power'!$B120+'Emissions Factors'!$C$35*('Calcs - Power'!$C120+'Calcs - Power'!$D120+'Calcs - Power'!$E120+'Calcs - Power'!$F120))</f>
        <v>3157799.744023616</v>
      </c>
      <c r="AI121" s="358">
        <f t="shared" si="22"/>
        <v>109</v>
      </c>
      <c r="AJ121" s="359">
        <f>(('Methane Leakage'!$G$6/'Methane Leakage'!$G$5)*102*'Emissions Factors'!$D$10*'Calcs - Power'!$G120+'Emissions Factors'!$D$11*('Calcs - Power'!$H120+'Calcs - Power'!$I120+'Calcs - Power'!$J120+'Calcs - Power'!$K120))</f>
        <v>3913.784369985694</v>
      </c>
      <c r="AK121" s="366">
        <f>(('Methane Leakage'!$G$6/'Methane Leakage'!$G$5)*102*'Emissions Factors'!$D$10*'Calcs - Power'!$B120+'Emissions Factors'!$D$11*('Calcs - Power'!$C120+'Calcs - Power'!$D120+'Calcs - Power'!$E120+'Calcs - Power'!$F120))</f>
        <v>266466.52050150349</v>
      </c>
      <c r="AL121" s="359">
        <f>(102*'Emissions Factors'!$E$10*'Calcs - Power'!$G120+'Emissions Factors'!$E$11*('Calcs - Power'!H120+'Calcs - Power'!I120+'Calcs - Power'!J120+'Calcs - Power'!K120))</f>
        <v>4530.0741174331306</v>
      </c>
      <c r="AM121" s="366">
        <f>(102*'Emissions Factors'!$E$10*'Calcs - Power'!$B120+'Emissions Factors'!$E$11*('Calcs - Power'!C120+'Calcs - Power'!D120+'Calcs - Power'!E120+'Calcs - Power'!F120))</f>
        <v>283184.52765583817</v>
      </c>
      <c r="AN121" s="359">
        <f>(102*'Emissions Factors'!$D$10*'Calcs - Power'!$G120+'Emissions Factors'!$D$11*('Calcs - Power'!$H120+'Calcs - Power'!$I120+'Calcs - Power'!$J120+'Calcs - Power'!$K120))</f>
        <v>3913.784369985694</v>
      </c>
      <c r="AO121" s="366">
        <f>(102*'Emissions Factors'!$D$10*'Calcs - Power'!$B120+'Emissions Factors'!$D$11*('Calcs - Power'!$C120+'Calcs - Power'!$D120+'Calcs - Power'!$E120+'Calcs - Power'!$F120))</f>
        <v>266466.52050150349</v>
      </c>
      <c r="AP121" s="367">
        <f>(102*'Emissions Factors'!$E$10*'Calcs - Power'!$G120+'Emissions Factors'!$E$11*('Calcs - Power'!H120+'Calcs - Power'!I120+'Calcs - Power'!J120+'Calcs - Power'!K120))</f>
        <v>4530.0741174331306</v>
      </c>
      <c r="AQ121" s="366">
        <f>(102*'Emissions Factors'!$E$10*'Calcs - Power'!$B120+'Emissions Factors'!$E$11*('Calcs - Power'!C120+'Calcs - Power'!D120+'Calcs - Power'!E120+'Calcs - Power'!F120))</f>
        <v>283184.52765583817</v>
      </c>
      <c r="AS121" s="357"/>
      <c r="AT121" s="357"/>
      <c r="AU121" s="357"/>
      <c r="AV121" s="357"/>
      <c r="AX121" s="358">
        <f t="shared" si="23"/>
        <v>109</v>
      </c>
      <c r="AY121" s="359">
        <f>(('Methane Leakage'!$G$6/'Methane Leakage'!$G$5)*102*'Emissions Factors'!$F$10*'Calcs - Power'!$G120+'Emissions Factors'!$F$11*('Calcs - Power'!$H120+'Calcs - Power'!$I120+'Calcs - Power'!$J120+'Calcs - Power'!$K120))</f>
        <v>5335274.6132088937</v>
      </c>
      <c r="AZ121" s="366">
        <f>(('Methane Leakage'!$G$6/'Methane Leakage'!$G$5)*102*'Emissions Factors'!$F$10*'Calcs - Power'!$B120+'Emissions Factors'!$F$11*('Calcs - Power'!$C120+'Calcs - Power'!$D120+'Calcs - Power'!$E120+'Calcs - Power'!$F120))</f>
        <v>354409183.6189087</v>
      </c>
      <c r="BA121" s="359">
        <f>(102*'Emissions Factors'!$G$10*'Calcs - Power'!$G120+'Emissions Factors'!$G$11*('Calcs - Power'!H120+'Calcs - Power'!I120+'Calcs - Power'!J120+'Calcs - Power'!K120))</f>
        <v>5227762.4287331095</v>
      </c>
      <c r="BB121" s="366">
        <f>(102*'Emissions Factors'!$G$10*'Calcs - Power'!$B120+'Emissions Factors'!$G$11*('Calcs - Power'!C120+'Calcs - Power'!D120+'Calcs - Power'!E120+'Calcs - Power'!F120))</f>
        <v>325848227.49677539</v>
      </c>
      <c r="BC121" s="359">
        <f>(102*'Emissions Factors'!$F$10*'Calcs - Power'!$G120+'Emissions Factors'!$F$11*('Calcs - Power'!$H120+'Calcs - Power'!$I120+'Calcs - Power'!$J120+'Calcs - Power'!$K120))</f>
        <v>5335274.6132088937</v>
      </c>
      <c r="BD121" s="366">
        <f>(102*'Emissions Factors'!$F$10*'Calcs - Power'!$B120+'Emissions Factors'!$F$11*('Calcs - Power'!$C120+'Calcs - Power'!$D120+'Calcs - Power'!$E120+'Calcs - Power'!$F120))</f>
        <v>354409183.6189087</v>
      </c>
      <c r="BE121" s="359">
        <f>(102*'Emissions Factors'!$G$10*'Calcs - Power'!$G120+'Emissions Factors'!$G$11*('Calcs - Power'!H120+'Calcs - Power'!I120+'Calcs - Power'!J120+'Calcs - Power'!K120))</f>
        <v>5227762.4287331095</v>
      </c>
      <c r="BF121" s="366">
        <f>(102*'Emissions Factors'!$G$10*'Calcs - Power'!$B120+'Emissions Factors'!$G$11*('Calcs - Power'!C120+'Calcs - Power'!D120+'Calcs - Power'!E120+'Calcs - Power'!F120))</f>
        <v>325848227.49677539</v>
      </c>
    </row>
    <row r="122" spans="1:58" x14ac:dyDescent="0.3">
      <c r="A122" s="351">
        <f t="shared" si="20"/>
        <v>110</v>
      </c>
      <c r="B122" s="352">
        <f t="shared" si="14"/>
        <v>0.99999999999999989</v>
      </c>
      <c r="C122" s="363">
        <f t="shared" si="15"/>
        <v>1</v>
      </c>
      <c r="D122" s="352">
        <f t="shared" si="16"/>
        <v>1</v>
      </c>
      <c r="E122" s="364">
        <f t="shared" si="17"/>
        <v>1</v>
      </c>
      <c r="F122" s="364">
        <f t="shared" si="18"/>
        <v>1</v>
      </c>
      <c r="G122" s="365">
        <f t="shared" si="19"/>
        <v>1</v>
      </c>
      <c r="P122" s="358">
        <f t="shared" si="21"/>
        <v>110</v>
      </c>
      <c r="Q122" s="359">
        <f>(('Methane Leakage'!$C$6/'Methane Leakage'!$C$5)*102*'Emissions Factors'!$C$38*'Calcs - Power'!$G121+'Emissions Factors'!$C$37*('Calcs - Power'!$H121+'Calcs - Power'!$I121+'Calcs - Power'!$J121+'Calcs - Power'!$K121))</f>
        <v>28487.036374610412</v>
      </c>
      <c r="R122" s="366">
        <f>(('Methane Leakage'!$C$6/'Methane Leakage'!$C$5)*102*'Emissions Factors'!$C$38*'Calcs - Power'!$B121+'Emissions Factors'!$C$37*('Calcs - Power'!$C121+'Calcs - Power'!$D121+'Calcs - Power'!$E121+'Calcs - Power'!$F121))</f>
        <v>1912300.7201141617</v>
      </c>
      <c r="S122" s="359">
        <f>(('Methane Leakage'!$C$6/'Methane Leakage'!$C$5)*102*'Emissions Factors'!$D$38*'Calcs - Power'!$G121+'Emissions Factors'!$D$37*('Calcs - Power'!$H121+'Calcs - Power'!$I121+'Calcs - Power'!$J121+'Calcs - Power'!$K121))</f>
        <v>28487.036374610412</v>
      </c>
      <c r="T122" s="366">
        <f>(('Methane Leakage'!$C$6/'Methane Leakage'!$C$5)*102*'Emissions Factors'!$D$38*'Calcs - Power'!$B121+'Emissions Factors'!$D$37*('Calcs - Power'!$C121+'Calcs - Power'!$D121+'Calcs - Power'!$E121+'Calcs - Power'!$F121))</f>
        <v>1912300.7201141617</v>
      </c>
      <c r="U122" s="361">
        <f>(102*'Emissions Factors'!$C$36*'Calcs - Power'!$G121+'Emissions Factors'!$C$35*('Calcs - Power'!$H121+'Calcs - Power'!$I121+'Calcs - Power'!$J121+'Calcs - Power'!$K121))</f>
        <v>51143.435774412334</v>
      </c>
      <c r="V122" s="366">
        <f>(102*'Emissions Factors'!$C$36*'Calcs - Power'!$B121+'Emissions Factors'!$C$35*('Calcs - Power'!$C121+'Calcs - Power'!$D121+'Calcs - Power'!$E121+'Calcs - Power'!$F121))</f>
        <v>3208769.761093589</v>
      </c>
      <c r="W122" s="359">
        <f>(102*'Emissions Factors'!$D$36*'Calcs - Power'!$G121+'Emissions Factors'!$D$35*('Calcs - Power'!$H121+'Calcs - Power'!$I121+'Calcs - Power'!$J121+'Calcs - Power'!$K121))</f>
        <v>51143.435774412334</v>
      </c>
      <c r="X122" s="366">
        <f>(102*'Emissions Factors'!$D$36*'Calcs - Power'!$B121+'Emissions Factors'!$D$35*('Calcs - Power'!$C121+'Calcs - Power'!$D121+'Calcs - Power'!$E121+'Calcs - Power'!$F121))</f>
        <v>3208769.761093589</v>
      </c>
      <c r="Y122" s="359">
        <f>(102*'Emissions Factors'!$C$38*'Calcs - Power'!$G121+'Emissions Factors'!$C$37*('Calcs - Power'!$H121+'Calcs - Power'!$I121+'Calcs - Power'!$J121+'Calcs - Power'!$K121))</f>
        <v>28487.036374610412</v>
      </c>
      <c r="Z122" s="366">
        <f>(102*'Emissions Factors'!$C$38*'Calcs - Power'!$B121+'Emissions Factors'!$C$37*('Calcs - Power'!$C121+'Calcs - Power'!$D121+'Calcs - Power'!$E121+'Calcs - Power'!$F121))</f>
        <v>1912300.7201141617</v>
      </c>
      <c r="AA122" s="359">
        <f>(102*'Emissions Factors'!$C$36*'Calcs - Power'!$G121+'Emissions Factors'!$C$35*('Calcs - Power'!$H121+'Calcs - Power'!$I121+'Calcs - Power'!$J121+'Calcs - Power'!$K121))</f>
        <v>51143.435774412334</v>
      </c>
      <c r="AB122" s="366">
        <f>(102*'Emissions Factors'!$C$36*'Calcs - Power'!$B121+'Emissions Factors'!$C$35*('Calcs - Power'!$C121+'Calcs - Power'!$D121+'Calcs - Power'!$E121+'Calcs - Power'!$F121))</f>
        <v>3208769.761093589</v>
      </c>
      <c r="AI122" s="358">
        <f t="shared" si="22"/>
        <v>110</v>
      </c>
      <c r="AJ122" s="359">
        <f>(('Methane Leakage'!$G$6/'Methane Leakage'!$G$5)*102*'Emissions Factors'!$D$10*'Calcs - Power'!$G121+'Emissions Factors'!$D$11*('Calcs - Power'!$H121+'Calcs - Power'!$I121+'Calcs - Power'!$J121+'Calcs - Power'!$K121))</f>
        <v>3935.9837694332391</v>
      </c>
      <c r="AK122" s="366">
        <f>(('Methane Leakage'!$G$6/'Methane Leakage'!$G$5)*102*'Emissions Factors'!$D$10*'Calcs - Power'!$B121+'Emissions Factors'!$D$11*('Calcs - Power'!$C121+'Calcs - Power'!$D121+'Calcs - Power'!$E121+'Calcs - Power'!$F121))</f>
        <v>270391.4090111148</v>
      </c>
      <c r="AL122" s="359">
        <f>(102*'Emissions Factors'!$E$10*'Calcs - Power'!$G121+'Emissions Factors'!$E$11*('Calcs - Power'!H121+'Calcs - Power'!I121+'Calcs - Power'!J121+'Calcs - Power'!K121))</f>
        <v>4560.7104846748462</v>
      </c>
      <c r="AM122" s="366">
        <f>(102*'Emissions Factors'!$E$10*'Calcs - Power'!$B121+'Emissions Factors'!$E$11*('Calcs - Power'!C121+'Calcs - Power'!D121+'Calcs - Power'!E121+'Calcs - Power'!F121))</f>
        <v>287729.92603077088</v>
      </c>
      <c r="AN122" s="359">
        <f>(102*'Emissions Factors'!$D$10*'Calcs - Power'!$G121+'Emissions Factors'!$D$11*('Calcs - Power'!$H121+'Calcs - Power'!$I121+'Calcs - Power'!$J121+'Calcs - Power'!$K121))</f>
        <v>3935.9837694332391</v>
      </c>
      <c r="AO122" s="366">
        <f>(102*'Emissions Factors'!$D$10*'Calcs - Power'!$B121+'Emissions Factors'!$D$11*('Calcs - Power'!$C121+'Calcs - Power'!$D121+'Calcs - Power'!$E121+'Calcs - Power'!$F121))</f>
        <v>270391.4090111148</v>
      </c>
      <c r="AP122" s="367">
        <f>(102*'Emissions Factors'!$E$10*'Calcs - Power'!$G121+'Emissions Factors'!$E$11*('Calcs - Power'!H121+'Calcs - Power'!I121+'Calcs - Power'!J121+'Calcs - Power'!K121))</f>
        <v>4560.7104846748462</v>
      </c>
      <c r="AQ122" s="366">
        <f>(102*'Emissions Factors'!$E$10*'Calcs - Power'!$B121+'Emissions Factors'!$E$11*('Calcs - Power'!C121+'Calcs - Power'!D121+'Calcs - Power'!E121+'Calcs - Power'!F121))</f>
        <v>287729.92603077088</v>
      </c>
      <c r="AS122" s="357"/>
      <c r="AT122" s="357"/>
      <c r="AU122" s="357"/>
      <c r="AV122" s="357"/>
      <c r="AX122" s="358">
        <f t="shared" si="23"/>
        <v>110</v>
      </c>
      <c r="AY122" s="359">
        <f>(('Methane Leakage'!$G$6/'Methane Leakage'!$G$5)*102*'Emissions Factors'!$F$10*'Calcs - Power'!$G121+'Emissions Factors'!$F$11*('Calcs - Power'!$H121+'Calcs - Power'!$I121+'Calcs - Power'!$J121+'Calcs - Power'!$K121))</f>
        <v>5367267.0371223856</v>
      </c>
      <c r="AZ122" s="366">
        <f>(('Methane Leakage'!$G$6/'Methane Leakage'!$G$5)*102*'Emissions Factors'!$F$10*'Calcs - Power'!$B121+'Emissions Factors'!$F$11*('Calcs - Power'!$C121+'Calcs - Power'!$D121+'Calcs - Power'!$E121+'Calcs - Power'!$F121))</f>
        <v>359760460.82388425</v>
      </c>
      <c r="BA122" s="359">
        <f>(102*'Emissions Factors'!$G$10*'Calcs - Power'!$G121+'Emissions Factors'!$G$11*('Calcs - Power'!H121+'Calcs - Power'!I121+'Calcs - Power'!J121+'Calcs - Power'!K121))</f>
        <v>5263303.2079334334</v>
      </c>
      <c r="BB122" s="366">
        <f>(102*'Emissions Factors'!$G$10*'Calcs - Power'!$B121+'Emissions Factors'!$G$11*('Calcs - Power'!C121+'Calcs - Power'!D121+'Calcs - Power'!E121+'Calcs - Power'!F121))</f>
        <v>331093767.35963529</v>
      </c>
      <c r="BC122" s="359">
        <f>(102*'Emissions Factors'!$F$10*'Calcs - Power'!$G121+'Emissions Factors'!$F$11*('Calcs - Power'!$H121+'Calcs - Power'!$I121+'Calcs - Power'!$J121+'Calcs - Power'!$K121))</f>
        <v>5367267.0371223856</v>
      </c>
      <c r="BD122" s="366">
        <f>(102*'Emissions Factors'!$F$10*'Calcs - Power'!$B121+'Emissions Factors'!$F$11*('Calcs - Power'!$C121+'Calcs - Power'!$D121+'Calcs - Power'!$E121+'Calcs - Power'!$F121))</f>
        <v>359760460.82388425</v>
      </c>
      <c r="BE122" s="359">
        <f>(102*'Emissions Factors'!$G$10*'Calcs - Power'!$G121+'Emissions Factors'!$G$11*('Calcs - Power'!H121+'Calcs - Power'!I121+'Calcs - Power'!J121+'Calcs - Power'!K121))</f>
        <v>5263303.2079334334</v>
      </c>
      <c r="BF122" s="366">
        <f>(102*'Emissions Factors'!$G$10*'Calcs - Power'!$B121+'Emissions Factors'!$G$11*('Calcs - Power'!C121+'Calcs - Power'!D121+'Calcs - Power'!E121+'Calcs - Power'!F121))</f>
        <v>331093767.35963529</v>
      </c>
    </row>
    <row r="123" spans="1:58" x14ac:dyDescent="0.3">
      <c r="A123" s="351">
        <f t="shared" si="20"/>
        <v>111</v>
      </c>
      <c r="B123" s="352">
        <f t="shared" si="14"/>
        <v>1</v>
      </c>
      <c r="C123" s="363">
        <f t="shared" si="15"/>
        <v>0.99999999999999989</v>
      </c>
      <c r="D123" s="352">
        <f t="shared" si="16"/>
        <v>1</v>
      </c>
      <c r="E123" s="364">
        <f t="shared" si="17"/>
        <v>1</v>
      </c>
      <c r="F123" s="364">
        <f t="shared" si="18"/>
        <v>1</v>
      </c>
      <c r="G123" s="365">
        <f t="shared" si="19"/>
        <v>1</v>
      </c>
      <c r="P123" s="358">
        <f t="shared" si="21"/>
        <v>111</v>
      </c>
      <c r="Q123" s="359">
        <f>(('Methane Leakage'!$C$6/'Methane Leakage'!$C$5)*102*'Emissions Factors'!$C$38*'Calcs - Power'!$G122+'Emissions Factors'!$C$37*('Calcs - Power'!$H122+'Calcs - Power'!$I122+'Calcs - Power'!$J122+'Calcs - Power'!$K122))</f>
        <v>28655.886228866369</v>
      </c>
      <c r="R123" s="366">
        <f>(('Methane Leakage'!$C$6/'Methane Leakage'!$C$5)*102*'Emissions Factors'!$C$38*'Calcs - Power'!$B122+'Emissions Factors'!$C$37*('Calcs - Power'!$C122+'Calcs - Power'!$D122+'Calcs - Power'!$E122+'Calcs - Power'!$F122))</f>
        <v>1940872.2148684377</v>
      </c>
      <c r="S123" s="359">
        <f>(('Methane Leakage'!$C$6/'Methane Leakage'!$C$5)*102*'Emissions Factors'!$D$38*'Calcs - Power'!$G122+'Emissions Factors'!$D$37*('Calcs - Power'!$H122+'Calcs - Power'!$I122+'Calcs - Power'!$J122+'Calcs - Power'!$K122))</f>
        <v>28655.886228866369</v>
      </c>
      <c r="T123" s="366">
        <f>(('Methane Leakage'!$C$6/'Methane Leakage'!$C$5)*102*'Emissions Factors'!$D$38*'Calcs - Power'!$B122+'Emissions Factors'!$D$37*('Calcs - Power'!$C122+'Calcs - Power'!$D122+'Calcs - Power'!$E122+'Calcs - Power'!$F122))</f>
        <v>1940872.2148684377</v>
      </c>
      <c r="U123" s="361">
        <f>(102*'Emissions Factors'!$C$36*'Calcs - Power'!$G122+'Emissions Factors'!$C$35*('Calcs - Power'!$H122+'Calcs - Power'!$I122+'Calcs - Power'!$J122+'Calcs - Power'!$K122))</f>
        <v>51489.589135771799</v>
      </c>
      <c r="V123" s="366">
        <f>(102*'Emissions Factors'!$C$36*'Calcs - Power'!$B122+'Emissions Factors'!$C$35*('Calcs - Power'!$C122+'Calcs - Power'!$D122+'Calcs - Power'!$E122+'Calcs - Power'!$F122))</f>
        <v>3260086.3417191086</v>
      </c>
      <c r="W123" s="359">
        <f>(102*'Emissions Factors'!$D$36*'Calcs - Power'!$G122+'Emissions Factors'!$D$35*('Calcs - Power'!$H122+'Calcs - Power'!$I122+'Calcs - Power'!$J122+'Calcs - Power'!$K122))</f>
        <v>51489.589135771799</v>
      </c>
      <c r="X123" s="366">
        <f>(102*'Emissions Factors'!$D$36*'Calcs - Power'!$B122+'Emissions Factors'!$D$35*('Calcs - Power'!$C122+'Calcs - Power'!$D122+'Calcs - Power'!$E122+'Calcs - Power'!$F122))</f>
        <v>3260086.3417191086</v>
      </c>
      <c r="Y123" s="359">
        <f>(102*'Emissions Factors'!$C$38*'Calcs - Power'!$G122+'Emissions Factors'!$C$37*('Calcs - Power'!$H122+'Calcs - Power'!$I122+'Calcs - Power'!$J122+'Calcs - Power'!$K122))</f>
        <v>28655.886228866369</v>
      </c>
      <c r="Z123" s="366">
        <f>(102*'Emissions Factors'!$C$38*'Calcs - Power'!$B122+'Emissions Factors'!$C$37*('Calcs - Power'!$C122+'Calcs - Power'!$D122+'Calcs - Power'!$E122+'Calcs - Power'!$F122))</f>
        <v>1940872.2148684377</v>
      </c>
      <c r="AA123" s="359">
        <f>(102*'Emissions Factors'!$C$36*'Calcs - Power'!$G122+'Emissions Factors'!$C$35*('Calcs - Power'!$H122+'Calcs - Power'!$I122+'Calcs - Power'!$J122+'Calcs - Power'!$K122))</f>
        <v>51489.589135771799</v>
      </c>
      <c r="AB123" s="366">
        <f>(102*'Emissions Factors'!$C$36*'Calcs - Power'!$B122+'Emissions Factors'!$C$35*('Calcs - Power'!$C122+'Calcs - Power'!$D122+'Calcs - Power'!$E122+'Calcs - Power'!$F122))</f>
        <v>3260086.3417191086</v>
      </c>
      <c r="AI123" s="358">
        <f t="shared" si="22"/>
        <v>111</v>
      </c>
      <c r="AJ123" s="359">
        <f>(('Methane Leakage'!$G$6/'Methane Leakage'!$G$5)*102*'Emissions Factors'!$D$10*'Calcs - Power'!$G122+'Emissions Factors'!$D$11*('Calcs - Power'!$H122+'Calcs - Power'!$I122+'Calcs - Power'!$J122+'Calcs - Power'!$K122))</f>
        <v>3958.1301369882685</v>
      </c>
      <c r="AK123" s="366">
        <f>(('Methane Leakage'!$G$6/'Methane Leakage'!$G$5)*102*'Emissions Factors'!$D$10*'Calcs - Power'!$B122+'Emissions Factors'!$D$11*('Calcs - Power'!$C122+'Calcs - Power'!$D122+'Calcs - Power'!$E122+'Calcs - Power'!$F122))</f>
        <v>274338.47036322858</v>
      </c>
      <c r="AL123" s="359">
        <f>(102*'Emissions Factors'!$E$10*'Calcs - Power'!$G122+'Emissions Factors'!$E$11*('Calcs - Power'!H122+'Calcs - Power'!I122+'Calcs - Power'!J122+'Calcs - Power'!K122))</f>
        <v>4591.27427955235</v>
      </c>
      <c r="AM123" s="366">
        <f>(102*'Emissions Factors'!$E$10*'Calcs - Power'!$B122+'Emissions Factors'!$E$11*('Calcs - Power'!C122+'Calcs - Power'!D122+'Calcs - Power'!E122+'Calcs - Power'!F122))</f>
        <v>292305.92443456635</v>
      </c>
      <c r="AN123" s="359">
        <f>(102*'Emissions Factors'!$D$10*'Calcs - Power'!$G122+'Emissions Factors'!$D$11*('Calcs - Power'!$H122+'Calcs - Power'!$I122+'Calcs - Power'!$J122+'Calcs - Power'!$K122))</f>
        <v>3958.1301369882685</v>
      </c>
      <c r="AO123" s="366">
        <f>(102*'Emissions Factors'!$D$10*'Calcs - Power'!$B122+'Emissions Factors'!$D$11*('Calcs - Power'!$C122+'Calcs - Power'!$D122+'Calcs - Power'!$E122+'Calcs - Power'!$F122))</f>
        <v>274338.47036322858</v>
      </c>
      <c r="AP123" s="367">
        <f>(102*'Emissions Factors'!$E$10*'Calcs - Power'!$G122+'Emissions Factors'!$E$11*('Calcs - Power'!H122+'Calcs - Power'!I122+'Calcs - Power'!J122+'Calcs - Power'!K122))</f>
        <v>4591.27427955235</v>
      </c>
      <c r="AQ123" s="366">
        <f>(102*'Emissions Factors'!$E$10*'Calcs - Power'!$B122+'Emissions Factors'!$E$11*('Calcs - Power'!C122+'Calcs - Power'!D122+'Calcs - Power'!E122+'Calcs - Power'!F122))</f>
        <v>292305.92443456635</v>
      </c>
      <c r="AS123" s="357"/>
      <c r="AT123" s="357"/>
      <c r="AU123" s="357"/>
      <c r="AV123" s="357"/>
      <c r="AX123" s="358">
        <f t="shared" si="23"/>
        <v>111</v>
      </c>
      <c r="AY123" s="359">
        <f>(('Methane Leakage'!$G$6/'Methane Leakage'!$G$5)*102*'Emissions Factors'!$F$10*'Calcs - Power'!$G122+'Emissions Factors'!$F$11*('Calcs - Power'!$H122+'Calcs - Power'!$I122+'Calcs - Power'!$J122+'Calcs - Power'!$K122))</f>
        <v>5399183.2498653587</v>
      </c>
      <c r="AZ123" s="366">
        <f>(('Methane Leakage'!$G$6/'Methane Leakage'!$G$5)*102*'Emissions Factors'!$F$10*'Calcs - Power'!$B122+'Emissions Factors'!$F$11*('Calcs - Power'!$C122+'Calcs - Power'!$D122+'Calcs - Power'!$E122+'Calcs - Power'!$F122))</f>
        <v>365143692.2896378</v>
      </c>
      <c r="BA123" s="359">
        <f>(102*'Emissions Factors'!$G$10*'Calcs - Power'!$G122+'Emissions Factors'!$G$11*('Calcs - Power'!H122+'Calcs - Power'!I122+'Calcs - Power'!J122+'Calcs - Power'!K122))</f>
        <v>5298759.816451502</v>
      </c>
      <c r="BB123" s="366">
        <f>(102*'Emissions Factors'!$G$10*'Calcs - Power'!$B122+'Emissions Factors'!$G$11*('Calcs - Power'!C122+'Calcs - Power'!D122+'Calcs - Power'!E122+'Calcs - Power'!F122))</f>
        <v>336374805.85593998</v>
      </c>
      <c r="BC123" s="359">
        <f>(102*'Emissions Factors'!$F$10*'Calcs - Power'!$G122+'Emissions Factors'!$F$11*('Calcs - Power'!$H122+'Calcs - Power'!$I122+'Calcs - Power'!$J122+'Calcs - Power'!$K122))</f>
        <v>5399183.2498653587</v>
      </c>
      <c r="BD123" s="366">
        <f>(102*'Emissions Factors'!$F$10*'Calcs - Power'!$B122+'Emissions Factors'!$F$11*('Calcs - Power'!$C122+'Calcs - Power'!$D122+'Calcs - Power'!$E122+'Calcs - Power'!$F122))</f>
        <v>365143692.2896378</v>
      </c>
      <c r="BE123" s="359">
        <f>(102*'Emissions Factors'!$G$10*'Calcs - Power'!$G122+'Emissions Factors'!$G$11*('Calcs - Power'!H122+'Calcs - Power'!I122+'Calcs - Power'!J122+'Calcs - Power'!K122))</f>
        <v>5298759.816451502</v>
      </c>
      <c r="BF123" s="366">
        <f>(102*'Emissions Factors'!$G$10*'Calcs - Power'!$B122+'Emissions Factors'!$G$11*('Calcs - Power'!C122+'Calcs - Power'!D122+'Calcs - Power'!E122+'Calcs - Power'!F122))</f>
        <v>336374805.85593998</v>
      </c>
    </row>
    <row r="124" spans="1:58" x14ac:dyDescent="0.3">
      <c r="A124" s="351">
        <f t="shared" si="20"/>
        <v>112</v>
      </c>
      <c r="B124" s="352">
        <f t="shared" si="14"/>
        <v>1</v>
      </c>
      <c r="C124" s="363">
        <f t="shared" si="15"/>
        <v>0.99999999999999989</v>
      </c>
      <c r="D124" s="352">
        <f t="shared" si="16"/>
        <v>1</v>
      </c>
      <c r="E124" s="364">
        <f t="shared" si="17"/>
        <v>1</v>
      </c>
      <c r="F124" s="364">
        <f t="shared" si="18"/>
        <v>1</v>
      </c>
      <c r="G124" s="365">
        <f t="shared" si="19"/>
        <v>1</v>
      </c>
      <c r="P124" s="358">
        <f t="shared" si="21"/>
        <v>112</v>
      </c>
      <c r="Q124" s="359">
        <f>(('Methane Leakage'!$C$6/'Methane Leakage'!$C$5)*102*'Emissions Factors'!$C$38*'Calcs - Power'!$G123+'Emissions Factors'!$C$37*('Calcs - Power'!$H123+'Calcs - Power'!$I123+'Calcs - Power'!$J123+'Calcs - Power'!$K123))</f>
        <v>28824.336440091836</v>
      </c>
      <c r="R124" s="366">
        <f>(('Methane Leakage'!$C$6/'Methane Leakage'!$C$5)*102*'Emissions Factors'!$C$38*'Calcs - Power'!$B123+'Emissions Factors'!$C$37*('Calcs - Power'!$C123+'Calcs - Power'!$D123+'Calcs - Power'!$E123+'Calcs - Power'!$F123))</f>
        <v>1969612.3593585982</v>
      </c>
      <c r="S124" s="359">
        <f>(('Methane Leakage'!$C$6/'Methane Leakage'!$C$5)*102*'Emissions Factors'!$D$38*'Calcs - Power'!$G123+'Emissions Factors'!$D$37*('Calcs - Power'!$H123+'Calcs - Power'!$I123+'Calcs - Power'!$J123+'Calcs - Power'!$K123))</f>
        <v>28824.336440091836</v>
      </c>
      <c r="T124" s="366">
        <f>(('Methane Leakage'!$C$6/'Methane Leakage'!$C$5)*102*'Emissions Factors'!$D$38*'Calcs - Power'!$B123+'Emissions Factors'!$D$37*('Calcs - Power'!$C123+'Calcs - Power'!$D123+'Calcs - Power'!$E123+'Calcs - Power'!$F123))</f>
        <v>1969612.3593585982</v>
      </c>
      <c r="U124" s="361">
        <f>(102*'Emissions Factors'!$C$36*'Calcs - Power'!$G123+'Emissions Factors'!$C$35*('Calcs - Power'!$H123+'Calcs - Power'!$I123+'Calcs - Power'!$J123+'Calcs - Power'!$K123))</f>
        <v>51834.927912516272</v>
      </c>
      <c r="V124" s="366">
        <f>(102*'Emissions Factors'!$C$36*'Calcs - Power'!$B123+'Emissions Factors'!$C$35*('Calcs - Power'!$C123+'Calcs - Power'!$D123+'Calcs - Power'!$E123+'Calcs - Power'!$F123))</f>
        <v>3311748.6678387006</v>
      </c>
      <c r="W124" s="359">
        <f>(102*'Emissions Factors'!$D$36*'Calcs - Power'!$G123+'Emissions Factors'!$D$35*('Calcs - Power'!$H123+'Calcs - Power'!$I123+'Calcs - Power'!$J123+'Calcs - Power'!$K123))</f>
        <v>51834.927912516272</v>
      </c>
      <c r="X124" s="366">
        <f>(102*'Emissions Factors'!$D$36*'Calcs - Power'!$B123+'Emissions Factors'!$D$35*('Calcs - Power'!$C123+'Calcs - Power'!$D123+'Calcs - Power'!$E123+'Calcs - Power'!$F123))</f>
        <v>3311748.6678387006</v>
      </c>
      <c r="Y124" s="359">
        <f>(102*'Emissions Factors'!$C$38*'Calcs - Power'!$G123+'Emissions Factors'!$C$37*('Calcs - Power'!$H123+'Calcs - Power'!$I123+'Calcs - Power'!$J123+'Calcs - Power'!$K123))</f>
        <v>28824.336440091836</v>
      </c>
      <c r="Z124" s="366">
        <f>(102*'Emissions Factors'!$C$38*'Calcs - Power'!$B123+'Emissions Factors'!$C$37*('Calcs - Power'!$C123+'Calcs - Power'!$D123+'Calcs - Power'!$E123+'Calcs - Power'!$F123))</f>
        <v>1969612.3593585982</v>
      </c>
      <c r="AA124" s="359">
        <f>(102*'Emissions Factors'!$C$36*'Calcs - Power'!$G123+'Emissions Factors'!$C$35*('Calcs - Power'!$H123+'Calcs - Power'!$I123+'Calcs - Power'!$J123+'Calcs - Power'!$K123))</f>
        <v>51834.927912516272</v>
      </c>
      <c r="AB124" s="366">
        <f>(102*'Emissions Factors'!$C$36*'Calcs - Power'!$B123+'Emissions Factors'!$C$35*('Calcs - Power'!$C123+'Calcs - Power'!$D123+'Calcs - Power'!$E123+'Calcs - Power'!$F123))</f>
        <v>3311748.6678387006</v>
      </c>
      <c r="AI124" s="358">
        <f t="shared" si="22"/>
        <v>112</v>
      </c>
      <c r="AJ124" s="359">
        <f>(('Methane Leakage'!$G$6/'Methane Leakage'!$G$5)*102*'Emissions Factors'!$D$10*'Calcs - Power'!$G123+'Emissions Factors'!$D$11*('Calcs - Power'!$H123+'Calcs - Power'!$I123+'Calcs - Power'!$J123+'Calcs - Power'!$K123))</f>
        <v>3980.2239577524174</v>
      </c>
      <c r="AK124" s="366">
        <f>(('Methane Leakage'!$G$6/'Methane Leakage'!$G$5)*102*'Emissions Factors'!$D$10*'Calcs - Power'!$B123+'Emissions Factors'!$D$11*('Calcs - Power'!$C123+'Calcs - Power'!$D123+'Calcs - Power'!$E123+'Calcs - Power'!$F123))</f>
        <v>278307.65176964202</v>
      </c>
      <c r="AL124" s="359">
        <f>(102*'Emissions Factors'!$E$10*'Calcs - Power'!$G123+'Emissions Factors'!$E$11*('Calcs - Power'!H123+'Calcs - Power'!I123+'Calcs - Power'!J123+'Calcs - Power'!K123))</f>
        <v>4621.7661210588794</v>
      </c>
      <c r="AM124" s="366">
        <f>(102*'Emissions Factors'!$E$10*'Calcs - Power'!$B123+'Emissions Factors'!$E$11*('Calcs - Power'!C123+'Calcs - Power'!D123+'Calcs - Power'!E123+'Calcs - Power'!F123))</f>
        <v>296912.4506055775</v>
      </c>
      <c r="AN124" s="359">
        <f>(102*'Emissions Factors'!$D$10*'Calcs - Power'!$G123+'Emissions Factors'!$D$11*('Calcs - Power'!$H123+'Calcs - Power'!$I123+'Calcs - Power'!$J123+'Calcs - Power'!$K123))</f>
        <v>3980.2239577524174</v>
      </c>
      <c r="AO124" s="366">
        <f>(102*'Emissions Factors'!$D$10*'Calcs - Power'!$B123+'Emissions Factors'!$D$11*('Calcs - Power'!$C123+'Calcs - Power'!$D123+'Calcs - Power'!$E123+'Calcs - Power'!$F123))</f>
        <v>278307.65176964202</v>
      </c>
      <c r="AP124" s="367">
        <f>(102*'Emissions Factors'!$E$10*'Calcs - Power'!$G123+'Emissions Factors'!$E$11*('Calcs - Power'!H123+'Calcs - Power'!I123+'Calcs - Power'!J123+'Calcs - Power'!K123))</f>
        <v>4621.7661210588794</v>
      </c>
      <c r="AQ124" s="366">
        <f>(102*'Emissions Factors'!$E$10*'Calcs - Power'!$B123+'Emissions Factors'!$E$11*('Calcs - Power'!C123+'Calcs - Power'!D123+'Calcs - Power'!E123+'Calcs - Power'!F123))</f>
        <v>296912.4506055775</v>
      </c>
      <c r="AS124" s="357"/>
      <c r="AT124" s="357"/>
      <c r="AU124" s="357"/>
      <c r="AV124" s="357"/>
      <c r="AX124" s="358">
        <f t="shared" si="23"/>
        <v>112</v>
      </c>
      <c r="AY124" s="359">
        <f>(('Methane Leakage'!$G$6/'Methane Leakage'!$G$5)*102*'Emissions Factors'!$F$10*'Calcs - Power'!$G123+'Emissions Factors'!$F$11*('Calcs - Power'!$H123+'Calcs - Power'!$I123+'Calcs - Power'!$J123+'Calcs - Power'!$K123))</f>
        <v>5431023.9328637803</v>
      </c>
      <c r="AZ124" s="366">
        <f>(('Methane Leakage'!$G$6/'Methane Leakage'!$G$5)*102*'Emissions Factors'!$F$10*'Calcs - Power'!$B123+'Emissions Factors'!$F$11*('Calcs - Power'!$C123+'Calcs - Power'!$D123+'Calcs - Power'!$E123+'Calcs - Power'!$F123))</f>
        <v>370558802.14723051</v>
      </c>
      <c r="BA124" s="359">
        <f>(102*'Emissions Factors'!$G$10*'Calcs - Power'!$G123+'Emissions Factors'!$G$11*('Calcs - Power'!H123+'Calcs - Power'!I123+'Calcs - Power'!J123+'Calcs - Power'!K123))</f>
        <v>5334132.9707781682</v>
      </c>
      <c r="BB124" s="366">
        <f>(102*'Emissions Factors'!$G$10*'Calcs - Power'!$B123+'Emissions Factors'!$G$11*('Calcs - Power'!C123+'Calcs - Power'!D123+'Calcs - Power'!E123+'Calcs - Power'!F123))</f>
        <v>341691259.17465734</v>
      </c>
      <c r="BC124" s="359">
        <f>(102*'Emissions Factors'!$F$10*'Calcs - Power'!$G123+'Emissions Factors'!$F$11*('Calcs - Power'!$H123+'Calcs - Power'!$I123+'Calcs - Power'!$J123+'Calcs - Power'!$K123))</f>
        <v>5431023.9328637803</v>
      </c>
      <c r="BD124" s="366">
        <f>(102*'Emissions Factors'!$F$10*'Calcs - Power'!$B123+'Emissions Factors'!$F$11*('Calcs - Power'!$C123+'Calcs - Power'!$D123+'Calcs - Power'!$E123+'Calcs - Power'!$F123))</f>
        <v>370558802.14723051</v>
      </c>
      <c r="BE124" s="359">
        <f>(102*'Emissions Factors'!$G$10*'Calcs - Power'!$G123+'Emissions Factors'!$G$11*('Calcs - Power'!H123+'Calcs - Power'!I123+'Calcs - Power'!J123+'Calcs - Power'!K123))</f>
        <v>5334132.9707781682</v>
      </c>
      <c r="BF124" s="366">
        <f>(102*'Emissions Factors'!$G$10*'Calcs - Power'!$B123+'Emissions Factors'!$G$11*('Calcs - Power'!C123+'Calcs - Power'!D123+'Calcs - Power'!E123+'Calcs - Power'!F123))</f>
        <v>341691259.17465734</v>
      </c>
    </row>
    <row r="125" spans="1:58" x14ac:dyDescent="0.3">
      <c r="A125" s="351">
        <f t="shared" si="20"/>
        <v>113</v>
      </c>
      <c r="B125" s="352">
        <f t="shared" si="14"/>
        <v>0.99999999999999989</v>
      </c>
      <c r="C125" s="363">
        <f t="shared" si="15"/>
        <v>0.99999999999999989</v>
      </c>
      <c r="D125" s="352">
        <f t="shared" si="16"/>
        <v>1</v>
      </c>
      <c r="E125" s="364">
        <f t="shared" si="17"/>
        <v>1</v>
      </c>
      <c r="F125" s="364">
        <f t="shared" si="18"/>
        <v>1</v>
      </c>
      <c r="G125" s="365">
        <f t="shared" si="19"/>
        <v>1</v>
      </c>
      <c r="P125" s="358">
        <f t="shared" si="21"/>
        <v>113</v>
      </c>
      <c r="Q125" s="359">
        <f>(('Methane Leakage'!$C$6/'Methane Leakage'!$C$5)*102*'Emissions Factors'!$C$38*'Calcs - Power'!$G124+'Emissions Factors'!$C$37*('Calcs - Power'!$H124+'Calcs - Power'!$I124+'Calcs - Power'!$J124+'Calcs - Power'!$K124))</f>
        <v>28992.390524341521</v>
      </c>
      <c r="R125" s="366">
        <f>(('Methane Leakage'!$C$6/'Methane Leakage'!$C$5)*102*'Emissions Factors'!$C$38*'Calcs - Power'!$B124+'Emissions Factors'!$C$37*('Calcs - Power'!$C124+'Calcs - Power'!$D124+'Calcs - Power'!$E124+'Calcs - Power'!$F124))</f>
        <v>1998520.7557072896</v>
      </c>
      <c r="S125" s="359">
        <f>(('Methane Leakage'!$C$6/'Methane Leakage'!$C$5)*102*'Emissions Factors'!$D$38*'Calcs - Power'!$G124+'Emissions Factors'!$D$37*('Calcs - Power'!$H124+'Calcs - Power'!$I124+'Calcs - Power'!$J124+'Calcs - Power'!$K124))</f>
        <v>28992.390524341521</v>
      </c>
      <c r="T125" s="366">
        <f>(('Methane Leakage'!$C$6/'Methane Leakage'!$C$5)*102*'Emissions Factors'!$D$38*'Calcs - Power'!$B124+'Emissions Factors'!$D$37*('Calcs - Power'!$C124+'Calcs - Power'!$D124+'Calcs - Power'!$E124+'Calcs - Power'!$F124))</f>
        <v>1998520.7557072896</v>
      </c>
      <c r="U125" s="361">
        <f>(102*'Emissions Factors'!$C$36*'Calcs - Power'!$G124+'Emissions Factors'!$C$35*('Calcs - Power'!$H124+'Calcs - Power'!$I124+'Calcs - Power'!$J124+'Calcs - Power'!$K124))</f>
        <v>52179.458925974643</v>
      </c>
      <c r="V125" s="366">
        <f>(102*'Emissions Factors'!$C$36*'Calcs - Power'!$B124+'Emissions Factors'!$C$35*('Calcs - Power'!$C124+'Calcs - Power'!$D124+'Calcs - Power'!$E124+'Calcs - Power'!$F124))</f>
        <v>3363755.9282914051</v>
      </c>
      <c r="W125" s="359">
        <f>(102*'Emissions Factors'!$D$36*'Calcs - Power'!$G124+'Emissions Factors'!$D$35*('Calcs - Power'!$H124+'Calcs - Power'!$I124+'Calcs - Power'!$J124+'Calcs - Power'!$K124))</f>
        <v>52179.458925974643</v>
      </c>
      <c r="X125" s="366">
        <f>(102*'Emissions Factors'!$D$36*'Calcs - Power'!$B124+'Emissions Factors'!$D$35*('Calcs - Power'!$C124+'Calcs - Power'!$D124+'Calcs - Power'!$E124+'Calcs - Power'!$F124))</f>
        <v>3363755.9282914051</v>
      </c>
      <c r="Y125" s="359">
        <f>(102*'Emissions Factors'!$C$38*'Calcs - Power'!$G124+'Emissions Factors'!$C$37*('Calcs - Power'!$H124+'Calcs - Power'!$I124+'Calcs - Power'!$J124+'Calcs - Power'!$K124))</f>
        <v>28992.390524341521</v>
      </c>
      <c r="Z125" s="366">
        <f>(102*'Emissions Factors'!$C$38*'Calcs - Power'!$B124+'Emissions Factors'!$C$37*('Calcs - Power'!$C124+'Calcs - Power'!$D124+'Calcs - Power'!$E124+'Calcs - Power'!$F124))</f>
        <v>1998520.7557072896</v>
      </c>
      <c r="AA125" s="359">
        <f>(102*'Emissions Factors'!$C$36*'Calcs - Power'!$G124+'Emissions Factors'!$C$35*('Calcs - Power'!$H124+'Calcs - Power'!$I124+'Calcs - Power'!$J124+'Calcs - Power'!$K124))</f>
        <v>52179.458925974643</v>
      </c>
      <c r="AB125" s="366">
        <f>(102*'Emissions Factors'!$C$36*'Calcs - Power'!$B124+'Emissions Factors'!$C$35*('Calcs - Power'!$C124+'Calcs - Power'!$D124+'Calcs - Power'!$E124+'Calcs - Power'!$F124))</f>
        <v>3363755.9282914051</v>
      </c>
      <c r="AI125" s="358">
        <f t="shared" si="22"/>
        <v>113</v>
      </c>
      <c r="AJ125" s="359">
        <f>(('Methane Leakage'!$G$6/'Methane Leakage'!$G$5)*102*'Emissions Factors'!$D$10*'Calcs - Power'!$G124+'Emissions Factors'!$D$11*('Calcs - Power'!$H124+'Calcs - Power'!$I124+'Calcs - Power'!$J124+'Calcs - Power'!$K124))</f>
        <v>4002.2657035322995</v>
      </c>
      <c r="AK125" s="366">
        <f>(('Methane Leakage'!$G$6/'Methane Leakage'!$G$5)*102*'Emissions Factors'!$D$10*'Calcs - Power'!$B124+'Emissions Factors'!$D$11*('Calcs - Power'!$C124+'Calcs - Power'!$D124+'Calcs - Power'!$E124+'Calcs - Power'!$F124))</f>
        <v>282298.90092054504</v>
      </c>
      <c r="AL125" s="359">
        <f>(102*'Emissions Factors'!$E$10*'Calcs - Power'!$G124+'Emissions Factors'!$E$11*('Calcs - Power'!H124+'Calcs - Power'!I124+'Calcs - Power'!J124+'Calcs - Power'!K124))</f>
        <v>4652.1866138845417</v>
      </c>
      <c r="AM125" s="366">
        <f>(102*'Emissions Factors'!$E$10*'Calcs - Power'!$B124+'Emissions Factors'!$E$11*('Calcs - Power'!C124+'Calcs - Power'!D124+'Calcs - Power'!E124+'Calcs - Power'!F124))</f>
        <v>301549.43289394211</v>
      </c>
      <c r="AN125" s="359">
        <f>(102*'Emissions Factors'!$D$10*'Calcs - Power'!$G124+'Emissions Factors'!$D$11*('Calcs - Power'!$H124+'Calcs - Power'!$I124+'Calcs - Power'!$J124+'Calcs - Power'!$K124))</f>
        <v>4002.2657035322995</v>
      </c>
      <c r="AO125" s="366">
        <f>(102*'Emissions Factors'!$D$10*'Calcs - Power'!$B124+'Emissions Factors'!$D$11*('Calcs - Power'!$C124+'Calcs - Power'!$D124+'Calcs - Power'!$E124+'Calcs - Power'!$F124))</f>
        <v>282298.90092054504</v>
      </c>
      <c r="AP125" s="367">
        <f>(102*'Emissions Factors'!$E$10*'Calcs - Power'!$G124+'Emissions Factors'!$E$11*('Calcs - Power'!H124+'Calcs - Power'!I124+'Calcs - Power'!J124+'Calcs - Power'!K124))</f>
        <v>4652.1866138845417</v>
      </c>
      <c r="AQ125" s="366">
        <f>(102*'Emissions Factors'!$E$10*'Calcs - Power'!$B124+'Emissions Factors'!$E$11*('Calcs - Power'!C124+'Calcs - Power'!D124+'Calcs - Power'!E124+'Calcs - Power'!F124))</f>
        <v>301549.43289394211</v>
      </c>
      <c r="AS125" s="357"/>
      <c r="AT125" s="357"/>
      <c r="AU125" s="357"/>
      <c r="AV125" s="357"/>
      <c r="AX125" s="358">
        <f t="shared" si="23"/>
        <v>113</v>
      </c>
      <c r="AY125" s="359">
        <f>(('Methane Leakage'!$G$6/'Methane Leakage'!$G$5)*102*'Emissions Factors'!$F$10*'Calcs - Power'!$G124+'Emissions Factors'!$F$11*('Calcs - Power'!$H124+'Calcs - Power'!$I124+'Calcs - Power'!$J124+'Calcs - Power'!$K124))</f>
        <v>5462789.7497998849</v>
      </c>
      <c r="AZ125" s="366">
        <f>(('Methane Leakage'!$G$6/'Methane Leakage'!$G$5)*102*'Emissions Factors'!$F$10*'Calcs - Power'!$B124+'Emissions Factors'!$F$11*('Calcs - Power'!$C124+'Calcs - Power'!$D124+'Calcs - Power'!$E124+'Calcs - Power'!$F124))</f>
        <v>376005715.20019829</v>
      </c>
      <c r="BA125" s="359">
        <f>(102*'Emissions Factors'!$G$10*'Calcs - Power'!$G124+'Emissions Factors'!$G$11*('Calcs - Power'!H124+'Calcs - Power'!I124+'Calcs - Power'!J124+'Calcs - Power'!K124))</f>
        <v>5369423.3709391542</v>
      </c>
      <c r="BB125" s="366">
        <f>(102*'Emissions Factors'!$G$10*'Calcs - Power'!$B124+'Emissions Factors'!$G$11*('Calcs - Power'!C124+'Calcs - Power'!D124+'Calcs - Power'!E124+'Calcs - Power'!F124))</f>
        <v>347043044.21294892</v>
      </c>
      <c r="BC125" s="359">
        <f>(102*'Emissions Factors'!$F$10*'Calcs - Power'!$G124+'Emissions Factors'!$F$11*('Calcs - Power'!$H124+'Calcs - Power'!$I124+'Calcs - Power'!$J124+'Calcs - Power'!$K124))</f>
        <v>5462789.7497998849</v>
      </c>
      <c r="BD125" s="366">
        <f>(102*'Emissions Factors'!$F$10*'Calcs - Power'!$B124+'Emissions Factors'!$F$11*('Calcs - Power'!$C124+'Calcs - Power'!$D124+'Calcs - Power'!$E124+'Calcs - Power'!$F124))</f>
        <v>376005715.20019829</v>
      </c>
      <c r="BE125" s="359">
        <f>(102*'Emissions Factors'!$G$10*'Calcs - Power'!$G124+'Emissions Factors'!$G$11*('Calcs - Power'!H124+'Calcs - Power'!I124+'Calcs - Power'!J124+'Calcs - Power'!K124))</f>
        <v>5369423.3709391542</v>
      </c>
      <c r="BF125" s="366">
        <f>(102*'Emissions Factors'!$G$10*'Calcs - Power'!$B124+'Emissions Factors'!$G$11*('Calcs - Power'!C124+'Calcs - Power'!D124+'Calcs - Power'!E124+'Calcs - Power'!F124))</f>
        <v>347043044.21294892</v>
      </c>
    </row>
    <row r="126" spans="1:58" x14ac:dyDescent="0.3">
      <c r="A126" s="351">
        <f t="shared" si="20"/>
        <v>114</v>
      </c>
      <c r="B126" s="352">
        <f t="shared" si="14"/>
        <v>0.99999999999999989</v>
      </c>
      <c r="C126" s="363">
        <f t="shared" si="15"/>
        <v>0.99999999999999978</v>
      </c>
      <c r="D126" s="352">
        <f t="shared" si="16"/>
        <v>1</v>
      </c>
      <c r="E126" s="364">
        <f t="shared" si="17"/>
        <v>1</v>
      </c>
      <c r="F126" s="364">
        <f t="shared" si="18"/>
        <v>1</v>
      </c>
      <c r="G126" s="365">
        <f t="shared" si="19"/>
        <v>1</v>
      </c>
      <c r="P126" s="358">
        <f t="shared" si="21"/>
        <v>114</v>
      </c>
      <c r="Q126" s="359">
        <f>(('Methane Leakage'!$C$6/'Methane Leakage'!$C$5)*102*'Emissions Factors'!$C$38*'Calcs - Power'!$G125+'Emissions Factors'!$C$37*('Calcs - Power'!$H125+'Calcs - Power'!$I125+'Calcs - Power'!$J125+'Calcs - Power'!$K125))</f>
        <v>29160.05190825199</v>
      </c>
      <c r="R126" s="366">
        <f>(('Methane Leakage'!$C$6/'Methane Leakage'!$C$5)*102*'Emissions Factors'!$C$38*'Calcs - Power'!$B125+'Emissions Factors'!$C$37*('Calcs - Power'!$C125+'Calcs - Power'!$D125+'Calcs - Power'!$E125+'Calcs - Power'!$F125))</f>
        <v>2027597.0095081106</v>
      </c>
      <c r="S126" s="359">
        <f>(('Methane Leakage'!$C$6/'Methane Leakage'!$C$5)*102*'Emissions Factors'!$D$38*'Calcs - Power'!$G125+'Emissions Factors'!$D$37*('Calcs - Power'!$H125+'Calcs - Power'!$I125+'Calcs - Power'!$J125+'Calcs - Power'!$K125))</f>
        <v>29160.05190825199</v>
      </c>
      <c r="T126" s="366">
        <f>(('Methane Leakage'!$C$6/'Methane Leakage'!$C$5)*102*'Emissions Factors'!$D$38*'Calcs - Power'!$B125+'Emissions Factors'!$D$37*('Calcs - Power'!$C125+'Calcs - Power'!$D125+'Calcs - Power'!$E125+'Calcs - Power'!$F125))</f>
        <v>2027597.0095081106</v>
      </c>
      <c r="U126" s="361">
        <f>(102*'Emissions Factors'!$C$36*'Calcs - Power'!$G125+'Emissions Factors'!$C$35*('Calcs - Power'!$H125+'Calcs - Power'!$I125+'Calcs - Power'!$J125+'Calcs - Power'!$K125))</f>
        <v>52523.188845159682</v>
      </c>
      <c r="V126" s="366">
        <f>(102*'Emissions Factors'!$C$36*'Calcs - Power'!$B125+'Emissions Factors'!$C$35*('Calcs - Power'!$C125+'Calcs - Power'!$D125+'Calcs - Power'!$E125+'Calcs - Power'!$F125))</f>
        <v>3416107.3186608409</v>
      </c>
      <c r="W126" s="359">
        <f>(102*'Emissions Factors'!$D$36*'Calcs - Power'!$G125+'Emissions Factors'!$D$35*('Calcs - Power'!$H125+'Calcs - Power'!$I125+'Calcs - Power'!$J125+'Calcs - Power'!$K125))</f>
        <v>52523.188845159682</v>
      </c>
      <c r="X126" s="366">
        <f>(102*'Emissions Factors'!$D$36*'Calcs - Power'!$B125+'Emissions Factors'!$D$35*('Calcs - Power'!$C125+'Calcs - Power'!$D125+'Calcs - Power'!$E125+'Calcs - Power'!$F125))</f>
        <v>3416107.3186608409</v>
      </c>
      <c r="Y126" s="359">
        <f>(102*'Emissions Factors'!$C$38*'Calcs - Power'!$G125+'Emissions Factors'!$C$37*('Calcs - Power'!$H125+'Calcs - Power'!$I125+'Calcs - Power'!$J125+'Calcs - Power'!$K125))</f>
        <v>29160.05190825199</v>
      </c>
      <c r="Z126" s="366">
        <f>(102*'Emissions Factors'!$C$38*'Calcs - Power'!$B125+'Emissions Factors'!$C$37*('Calcs - Power'!$C125+'Calcs - Power'!$D125+'Calcs - Power'!$E125+'Calcs - Power'!$F125))</f>
        <v>2027597.0095081106</v>
      </c>
      <c r="AA126" s="359">
        <f>(102*'Emissions Factors'!$C$36*'Calcs - Power'!$G125+'Emissions Factors'!$C$35*('Calcs - Power'!$H125+'Calcs - Power'!$I125+'Calcs - Power'!$J125+'Calcs - Power'!$K125))</f>
        <v>52523.188845159682</v>
      </c>
      <c r="AB126" s="366">
        <f>(102*'Emissions Factors'!$C$36*'Calcs - Power'!$B125+'Emissions Factors'!$C$35*('Calcs - Power'!$C125+'Calcs - Power'!$D125+'Calcs - Power'!$E125+'Calcs - Power'!$F125))</f>
        <v>3416107.3186608409</v>
      </c>
      <c r="AI126" s="358">
        <f t="shared" si="22"/>
        <v>114</v>
      </c>
      <c r="AJ126" s="359">
        <f>(('Methane Leakage'!$G$6/'Methane Leakage'!$G$5)*102*'Emissions Factors'!$D$10*'Calcs - Power'!$G125+'Emissions Factors'!$D$11*('Calcs - Power'!$H125+'Calcs - Power'!$I125+'Calcs - Power'!$J125+'Calcs - Power'!$K125))</f>
        <v>4024.255833553776</v>
      </c>
      <c r="AK126" s="366">
        <f>(('Methane Leakage'!$G$6/'Methane Leakage'!$G$5)*102*'Emissions Factors'!$D$10*'Calcs - Power'!$B125+'Emissions Factors'!$D$11*('Calcs - Power'!$C125+'Calcs - Power'!$D125+'Calcs - Power'!$E125+'Calcs - Power'!$F125))</f>
        <v>286312.16597158613</v>
      </c>
      <c r="AL126" s="359">
        <f>(102*'Emissions Factors'!$E$10*'Calcs - Power'!$G125+'Emissions Factors'!$E$11*('Calcs - Power'!H125+'Calcs - Power'!I125+'Calcs - Power'!J125+'Calcs - Power'!K125))</f>
        <v>4682.5363490785076</v>
      </c>
      <c r="AM126" s="366">
        <f>(102*'Emissions Factors'!$E$10*'Calcs - Power'!$B125+'Emissions Factors'!$E$11*('Calcs - Power'!C125+'Calcs - Power'!D125+'Calcs - Power'!E125+'Calcs - Power'!F125))</f>
        <v>306216.80024761398</v>
      </c>
      <c r="AN126" s="359">
        <f>(102*'Emissions Factors'!$D$10*'Calcs - Power'!$G125+'Emissions Factors'!$D$11*('Calcs - Power'!$H125+'Calcs - Power'!$I125+'Calcs - Power'!$J125+'Calcs - Power'!$K125))</f>
        <v>4024.255833553776</v>
      </c>
      <c r="AO126" s="366">
        <f>(102*'Emissions Factors'!$D$10*'Calcs - Power'!$B125+'Emissions Factors'!$D$11*('Calcs - Power'!$C125+'Calcs - Power'!$D125+'Calcs - Power'!$E125+'Calcs - Power'!$F125))</f>
        <v>286312.16597158613</v>
      </c>
      <c r="AP126" s="367">
        <f>(102*'Emissions Factors'!$E$10*'Calcs - Power'!$G125+'Emissions Factors'!$E$11*('Calcs - Power'!H125+'Calcs - Power'!I125+'Calcs - Power'!J125+'Calcs - Power'!K125))</f>
        <v>4682.5363490785076</v>
      </c>
      <c r="AQ126" s="366">
        <f>(102*'Emissions Factors'!$E$10*'Calcs - Power'!$B125+'Emissions Factors'!$E$11*('Calcs - Power'!C125+'Calcs - Power'!D125+'Calcs - Power'!E125+'Calcs - Power'!F125))</f>
        <v>306216.80024761398</v>
      </c>
      <c r="AS126" s="357"/>
      <c r="AT126" s="357"/>
      <c r="AU126" s="357"/>
      <c r="AV126" s="357"/>
      <c r="AX126" s="358">
        <f t="shared" si="23"/>
        <v>114</v>
      </c>
      <c r="AY126" s="359">
        <f>(('Methane Leakage'!$G$6/'Methane Leakage'!$G$5)*102*'Emissions Factors'!$F$10*'Calcs - Power'!$G125+'Emissions Factors'!$F$11*('Calcs - Power'!$H125+'Calcs - Power'!$I125+'Calcs - Power'!$J125+'Calcs - Power'!$K125))</f>
        <v>5494481.3475282472</v>
      </c>
      <c r="AZ126" s="366">
        <f>(('Methane Leakage'!$G$6/'Methane Leakage'!$G$5)*102*'Emissions Factors'!$F$10*'Calcs - Power'!$B125+'Emissions Factors'!$F$11*('Calcs - Power'!$C125+'Calcs - Power'!$D125+'Calcs - Power'!$E125+'Calcs - Power'!$F125))</f>
        <v>381484356.90727174</v>
      </c>
      <c r="BA126" s="359">
        <f>(102*'Emissions Factors'!$G$10*'Calcs - Power'!$G125+'Emissions Factors'!$G$11*('Calcs - Power'!H125+'Calcs - Power'!I125+'Calcs - Power'!J125+'Calcs - Power'!K125))</f>
        <v>5404631.7012530388</v>
      </c>
      <c r="BB126" s="366">
        <f>(102*'Emissions Factors'!$G$10*'Calcs - Power'!$B125+'Emissions Factors'!$G$11*('Calcs - Power'!C125+'Calcs - Power'!D125+'Calcs - Power'!E125+'Calcs - Power'!F125))</f>
        <v>352430078.56008655</v>
      </c>
      <c r="BC126" s="359">
        <f>(102*'Emissions Factors'!$F$10*'Calcs - Power'!$G125+'Emissions Factors'!$F$11*('Calcs - Power'!$H125+'Calcs - Power'!$I125+'Calcs - Power'!$J125+'Calcs - Power'!$K125))</f>
        <v>5494481.3475282472</v>
      </c>
      <c r="BD126" s="366">
        <f>(102*'Emissions Factors'!$F$10*'Calcs - Power'!$B125+'Emissions Factors'!$F$11*('Calcs - Power'!$C125+'Calcs - Power'!$D125+'Calcs - Power'!$E125+'Calcs - Power'!$F125))</f>
        <v>381484356.90727174</v>
      </c>
      <c r="BE126" s="359">
        <f>(102*'Emissions Factors'!$G$10*'Calcs - Power'!$G125+'Emissions Factors'!$G$11*('Calcs - Power'!H125+'Calcs - Power'!I125+'Calcs - Power'!J125+'Calcs - Power'!K125))</f>
        <v>5404631.7012530388</v>
      </c>
      <c r="BF126" s="366">
        <f>(102*'Emissions Factors'!$G$10*'Calcs - Power'!$B125+'Emissions Factors'!$G$11*('Calcs - Power'!C125+'Calcs - Power'!D125+'Calcs - Power'!E125+'Calcs - Power'!F125))</f>
        <v>352430078.56008655</v>
      </c>
    </row>
    <row r="127" spans="1:58" x14ac:dyDescent="0.3">
      <c r="A127" s="351">
        <f t="shared" si="20"/>
        <v>115</v>
      </c>
      <c r="B127" s="352">
        <f t="shared" si="14"/>
        <v>1</v>
      </c>
      <c r="C127" s="363">
        <f t="shared" si="15"/>
        <v>0.99999999999999989</v>
      </c>
      <c r="D127" s="352">
        <f t="shared" si="16"/>
        <v>1</v>
      </c>
      <c r="E127" s="364">
        <f t="shared" si="17"/>
        <v>1</v>
      </c>
      <c r="F127" s="364">
        <f t="shared" si="18"/>
        <v>1</v>
      </c>
      <c r="G127" s="365">
        <f t="shared" si="19"/>
        <v>1</v>
      </c>
      <c r="P127" s="358">
        <f t="shared" si="21"/>
        <v>115</v>
      </c>
      <c r="Q127" s="359">
        <f>(('Methane Leakage'!$C$6/'Methane Leakage'!$C$5)*102*'Emissions Factors'!$C$38*'Calcs - Power'!$G126+'Emissions Factors'!$C$37*('Calcs - Power'!$H126+'Calcs - Power'!$I126+'Calcs - Power'!$J126+'Calcs - Power'!$K126))</f>
        <v>29327.323933628191</v>
      </c>
      <c r="R127" s="366">
        <f>(('Methane Leakage'!$C$6/'Methane Leakage'!$C$5)*102*'Emissions Factors'!$C$38*'Calcs - Power'!$B126+'Emissions Factors'!$C$37*('Calcs - Power'!$C126+'Calcs - Power'!$D126+'Calcs - Power'!$E126+'Calcs - Power'!$F126))</f>
        <v>2056840.7297385097</v>
      </c>
      <c r="S127" s="359">
        <f>(('Methane Leakage'!$C$6/'Methane Leakage'!$C$5)*102*'Emissions Factors'!$D$38*'Calcs - Power'!$G126+'Emissions Factors'!$D$37*('Calcs - Power'!$H126+'Calcs - Power'!$I126+'Calcs - Power'!$J126+'Calcs - Power'!$K126))</f>
        <v>29327.323933628191</v>
      </c>
      <c r="T127" s="366">
        <f>(('Methane Leakage'!$C$6/'Methane Leakage'!$C$5)*102*'Emissions Factors'!$D$38*'Calcs - Power'!$B126+'Emissions Factors'!$D$37*('Calcs - Power'!$C126+'Calcs - Power'!$D126+'Calcs - Power'!$E126+'Calcs - Power'!$F126))</f>
        <v>2056840.7297385097</v>
      </c>
      <c r="U127" s="361">
        <f>(102*'Emissions Factors'!$C$36*'Calcs - Power'!$G126+'Emissions Factors'!$C$35*('Calcs - Power'!$H126+'Calcs - Power'!$I126+'Calcs - Power'!$J126+'Calcs - Power'!$K126))</f>
        <v>52866.124193691481</v>
      </c>
      <c r="V127" s="366">
        <f>(102*'Emissions Factors'!$C$36*'Calcs - Power'!$B126+'Emissions Factors'!$C$35*('Calcs - Power'!$C126+'Calcs - Power'!$D126+'Calcs - Power'!$E126+'Calcs - Power'!$F126))</f>
        <v>3468802.0411263816</v>
      </c>
      <c r="W127" s="359">
        <f>(102*'Emissions Factors'!$D$36*'Calcs - Power'!$G126+'Emissions Factors'!$D$35*('Calcs - Power'!$H126+'Calcs - Power'!$I126+'Calcs - Power'!$J126+'Calcs - Power'!$K126))</f>
        <v>52866.124193691481</v>
      </c>
      <c r="X127" s="366">
        <f>(102*'Emissions Factors'!$D$36*'Calcs - Power'!$B126+'Emissions Factors'!$D$35*('Calcs - Power'!$C126+'Calcs - Power'!$D126+'Calcs - Power'!$E126+'Calcs - Power'!$F126))</f>
        <v>3468802.0411263816</v>
      </c>
      <c r="Y127" s="359">
        <f>(102*'Emissions Factors'!$C$38*'Calcs - Power'!$G126+'Emissions Factors'!$C$37*('Calcs - Power'!$H126+'Calcs - Power'!$I126+'Calcs - Power'!$J126+'Calcs - Power'!$K126))</f>
        <v>29327.323933628191</v>
      </c>
      <c r="Z127" s="366">
        <f>(102*'Emissions Factors'!$C$38*'Calcs - Power'!$B126+'Emissions Factors'!$C$37*('Calcs - Power'!$C126+'Calcs - Power'!$D126+'Calcs - Power'!$E126+'Calcs - Power'!$F126))</f>
        <v>2056840.7297385097</v>
      </c>
      <c r="AA127" s="359">
        <f>(102*'Emissions Factors'!$C$36*'Calcs - Power'!$G126+'Emissions Factors'!$C$35*('Calcs - Power'!$H126+'Calcs - Power'!$I126+'Calcs - Power'!$J126+'Calcs - Power'!$K126))</f>
        <v>52866.124193691481</v>
      </c>
      <c r="AB127" s="366">
        <f>(102*'Emissions Factors'!$C$36*'Calcs - Power'!$B126+'Emissions Factors'!$C$35*('Calcs - Power'!$C126+'Calcs - Power'!$D126+'Calcs - Power'!$E126+'Calcs - Power'!$F126))</f>
        <v>3468802.0411263816</v>
      </c>
      <c r="AI127" s="358">
        <f t="shared" si="22"/>
        <v>115</v>
      </c>
      <c r="AJ127" s="359">
        <f>(('Methane Leakage'!$G$6/'Methane Leakage'!$G$5)*102*'Emissions Factors'!$D$10*'Calcs - Power'!$G126+'Emissions Factors'!$D$11*('Calcs - Power'!$H126+'Calcs - Power'!$I126+'Calcs - Power'!$J126+'Calcs - Power'!$K126))</f>
        <v>4046.1947951317229</v>
      </c>
      <c r="AK127" s="366">
        <f>(('Methane Leakage'!$G$6/'Methane Leakage'!$G$5)*102*'Emissions Factors'!$D$10*'Calcs - Power'!$B126+'Emissions Factors'!$D$11*('Calcs - Power'!$C126+'Calcs - Power'!$D126+'Calcs - Power'!$E126+'Calcs - Power'!$F126))</f>
        <v>290347.39553163003</v>
      </c>
      <c r="AL127" s="359">
        <f>(102*'Emissions Factors'!$E$10*'Calcs - Power'!$G126+'Emissions Factors'!$E$11*('Calcs - Power'!H126+'Calcs - Power'!I126+'Calcs - Power'!J126+'Calcs - Power'!K126))</f>
        <v>4712.8159046756882</v>
      </c>
      <c r="AM127" s="366">
        <f>(102*'Emissions Factors'!$E$10*'Calcs - Power'!$B126+'Emissions Factors'!$E$11*('Calcs - Power'!C126+'Calcs - Power'!D126+'Calcs - Power'!E126+'Calcs - Power'!F126))</f>
        <v>310914.48219903809</v>
      </c>
      <c r="AN127" s="359">
        <f>(102*'Emissions Factors'!$D$10*'Calcs - Power'!$G126+'Emissions Factors'!$D$11*('Calcs - Power'!$H126+'Calcs - Power'!$I126+'Calcs - Power'!$J126+'Calcs - Power'!$K126))</f>
        <v>4046.1947951317229</v>
      </c>
      <c r="AO127" s="366">
        <f>(102*'Emissions Factors'!$D$10*'Calcs - Power'!$B126+'Emissions Factors'!$D$11*('Calcs - Power'!$C126+'Calcs - Power'!$D126+'Calcs - Power'!$E126+'Calcs - Power'!$F126))</f>
        <v>290347.39553163003</v>
      </c>
      <c r="AP127" s="367">
        <f>(102*'Emissions Factors'!$E$10*'Calcs - Power'!$G126+'Emissions Factors'!$E$11*('Calcs - Power'!H126+'Calcs - Power'!I126+'Calcs - Power'!J126+'Calcs - Power'!K126))</f>
        <v>4712.8159046756882</v>
      </c>
      <c r="AQ127" s="366">
        <f>(102*'Emissions Factors'!$E$10*'Calcs - Power'!$B126+'Emissions Factors'!$E$11*('Calcs - Power'!C126+'Calcs - Power'!D126+'Calcs - Power'!E126+'Calcs - Power'!F126))</f>
        <v>310914.48219903809</v>
      </c>
      <c r="AS127" s="357"/>
      <c r="AT127" s="357"/>
      <c r="AU127" s="357"/>
      <c r="AV127" s="357"/>
      <c r="AX127" s="358">
        <f t="shared" si="23"/>
        <v>115</v>
      </c>
      <c r="AY127" s="359">
        <f>(('Methane Leakage'!$G$6/'Methane Leakage'!$G$5)*102*'Emissions Factors'!$F$10*'Calcs - Power'!$G126+'Emissions Factors'!$F$11*('Calcs - Power'!$H126+'Calcs - Power'!$I126+'Calcs - Power'!$J126+'Calcs - Power'!$K126))</f>
        <v>5526099.3569367994</v>
      </c>
      <c r="AZ127" s="366">
        <f>(('Methane Leakage'!$G$6/'Methane Leakage'!$G$5)*102*'Emissions Factors'!$F$10*'Calcs - Power'!$B126+'Emissions Factors'!$F$11*('Calcs - Power'!$C126+'Calcs - Power'!$D126+'Calcs - Power'!$E126+'Calcs - Power'!$F126))</f>
        <v>386994653.36598313</v>
      </c>
      <c r="BA127" s="359">
        <f>(102*'Emissions Factors'!$G$10*'Calcs - Power'!$G126+'Emissions Factors'!$G$11*('Calcs - Power'!H126+'Calcs - Power'!I126+'Calcs - Power'!J126+'Calcs - Power'!K126))</f>
        <v>5439758.6310488563</v>
      </c>
      <c r="BB127" s="366">
        <f>(102*'Emissions Factors'!$G$10*'Calcs - Power'!$B126+'Emissions Factors'!$G$11*('Calcs - Power'!C126+'Calcs - Power'!D126+'Calcs - Power'!E126+'Calcs - Power'!F126))</f>
        <v>357852280.48210788</v>
      </c>
      <c r="BC127" s="359">
        <f>(102*'Emissions Factors'!$F$10*'Calcs - Power'!$G126+'Emissions Factors'!$F$11*('Calcs - Power'!$H126+'Calcs - Power'!$I126+'Calcs - Power'!$J126+'Calcs - Power'!$K126))</f>
        <v>5526099.3569367994</v>
      </c>
      <c r="BD127" s="366">
        <f>(102*'Emissions Factors'!$F$10*'Calcs - Power'!$B126+'Emissions Factors'!$F$11*('Calcs - Power'!$C126+'Calcs - Power'!$D126+'Calcs - Power'!$E126+'Calcs - Power'!$F126))</f>
        <v>386994653.36598313</v>
      </c>
      <c r="BE127" s="359">
        <f>(102*'Emissions Factors'!$G$10*'Calcs - Power'!$G126+'Emissions Factors'!$G$11*('Calcs - Power'!H126+'Calcs - Power'!I126+'Calcs - Power'!J126+'Calcs - Power'!K126))</f>
        <v>5439758.6310488563</v>
      </c>
      <c r="BF127" s="366">
        <f>(102*'Emissions Factors'!$G$10*'Calcs - Power'!$B126+'Emissions Factors'!$G$11*('Calcs - Power'!C126+'Calcs - Power'!D126+'Calcs - Power'!E126+'Calcs - Power'!F126))</f>
        <v>357852280.48210788</v>
      </c>
    </row>
    <row r="128" spans="1:58" x14ac:dyDescent="0.3">
      <c r="A128" s="351">
        <f t="shared" si="20"/>
        <v>116</v>
      </c>
      <c r="B128" s="352">
        <f t="shared" si="14"/>
        <v>0.99999999999999989</v>
      </c>
      <c r="C128" s="363">
        <f t="shared" si="15"/>
        <v>0.99999999999999978</v>
      </c>
      <c r="D128" s="352">
        <f t="shared" si="16"/>
        <v>1</v>
      </c>
      <c r="E128" s="364">
        <f t="shared" si="17"/>
        <v>1</v>
      </c>
      <c r="F128" s="364">
        <f t="shared" si="18"/>
        <v>1</v>
      </c>
      <c r="G128" s="365">
        <f t="shared" si="19"/>
        <v>1</v>
      </c>
      <c r="P128" s="358">
        <f t="shared" si="21"/>
        <v>116</v>
      </c>
      <c r="Q128" s="359">
        <f>(('Methane Leakage'!$C$6/'Methane Leakage'!$C$5)*102*'Emissions Factors'!$C$38*'Calcs - Power'!$G127+'Emissions Factors'!$C$37*('Calcs - Power'!$H127+'Calcs - Power'!$I127+'Calcs - Power'!$J127+'Calcs - Power'!$K127))</f>
        <v>29494.209861754796</v>
      </c>
      <c r="R128" s="366">
        <f>(('Methane Leakage'!$C$6/'Methane Leakage'!$C$5)*102*'Emissions Factors'!$C$38*'Calcs - Power'!$B127+'Emissions Factors'!$C$37*('Calcs - Power'!$C127+'Calcs - Power'!$D127+'Calcs - Power'!$E127+'Calcs - Power'!$F127))</f>
        <v>2086251.5286771331</v>
      </c>
      <c r="S128" s="359">
        <f>(('Methane Leakage'!$C$6/'Methane Leakage'!$C$5)*102*'Emissions Factors'!$D$38*'Calcs - Power'!$G127+'Emissions Factors'!$D$37*('Calcs - Power'!$H127+'Calcs - Power'!$I127+'Calcs - Power'!$J127+'Calcs - Power'!$K127))</f>
        <v>29494.209861754796</v>
      </c>
      <c r="T128" s="366">
        <f>(('Methane Leakage'!$C$6/'Methane Leakage'!$C$5)*102*'Emissions Factors'!$D$38*'Calcs - Power'!$B127+'Emissions Factors'!$D$37*('Calcs - Power'!$C127+'Calcs - Power'!$D127+'Calcs - Power'!$E127+'Calcs - Power'!$F127))</f>
        <v>2086251.5286771331</v>
      </c>
      <c r="U128" s="361">
        <f>(102*'Emissions Factors'!$C$36*'Calcs - Power'!$G127+'Emissions Factors'!$C$35*('Calcs - Power'!$H127+'Calcs - Power'!$I127+'Calcs - Power'!$J127+'Calcs - Power'!$K127))</f>
        <v>53208.271356354831</v>
      </c>
      <c r="V128" s="366">
        <f>(102*'Emissions Factors'!$C$36*'Calcs - Power'!$B127+'Emissions Factors'!$C$35*('Calcs - Power'!$C127+'Calcs - Power'!$D127+'Calcs - Power'!$E127+'Calcs - Power'!$F127))</f>
        <v>3521839.3043210744</v>
      </c>
      <c r="W128" s="359">
        <f>(102*'Emissions Factors'!$D$36*'Calcs - Power'!$G127+'Emissions Factors'!$D$35*('Calcs - Power'!$H127+'Calcs - Power'!$I127+'Calcs - Power'!$J127+'Calcs - Power'!$K127))</f>
        <v>53208.271356354831</v>
      </c>
      <c r="X128" s="366">
        <f>(102*'Emissions Factors'!$D$36*'Calcs - Power'!$B127+'Emissions Factors'!$D$35*('Calcs - Power'!$C127+'Calcs - Power'!$D127+'Calcs - Power'!$E127+'Calcs - Power'!$F127))</f>
        <v>3521839.3043210744</v>
      </c>
      <c r="Y128" s="359">
        <f>(102*'Emissions Factors'!$C$38*'Calcs - Power'!$G127+'Emissions Factors'!$C$37*('Calcs - Power'!$H127+'Calcs - Power'!$I127+'Calcs - Power'!$J127+'Calcs - Power'!$K127))</f>
        <v>29494.209861754796</v>
      </c>
      <c r="Z128" s="366">
        <f>(102*'Emissions Factors'!$C$38*'Calcs - Power'!$B127+'Emissions Factors'!$C$37*('Calcs - Power'!$C127+'Calcs - Power'!$D127+'Calcs - Power'!$E127+'Calcs - Power'!$F127))</f>
        <v>2086251.5286771331</v>
      </c>
      <c r="AA128" s="359">
        <f>(102*'Emissions Factors'!$C$36*'Calcs - Power'!$G127+'Emissions Factors'!$C$35*('Calcs - Power'!$H127+'Calcs - Power'!$I127+'Calcs - Power'!$J127+'Calcs - Power'!$K127))</f>
        <v>53208.271356354831</v>
      </c>
      <c r="AB128" s="366">
        <f>(102*'Emissions Factors'!$C$36*'Calcs - Power'!$B127+'Emissions Factors'!$C$35*('Calcs - Power'!$C127+'Calcs - Power'!$D127+'Calcs - Power'!$E127+'Calcs - Power'!$F127))</f>
        <v>3521839.3043210744</v>
      </c>
      <c r="AI128" s="358">
        <f t="shared" si="22"/>
        <v>116</v>
      </c>
      <c r="AJ128" s="359">
        <f>(('Methane Leakage'!$G$6/'Methane Leakage'!$G$5)*102*'Emissions Factors'!$D$10*'Calcs - Power'!$G127+'Emissions Factors'!$D$11*('Calcs - Power'!$H127+'Calcs - Power'!$I127+'Calcs - Power'!$J127+'Calcs - Power'!$K127))</f>
        <v>4068.0830242982543</v>
      </c>
      <c r="AK128" s="366">
        <f>(('Methane Leakage'!$G$6/'Methane Leakage'!$G$5)*102*'Emissions Factors'!$D$10*'Calcs - Power'!$B127+'Emissions Factors'!$D$11*('Calcs - Power'!$C127+'Calcs - Power'!$D127+'Calcs - Power'!$E127+'Calcs - Power'!$F127))</f>
        <v>294404.53865116456</v>
      </c>
      <c r="AL128" s="359">
        <f>(102*'Emissions Factors'!$E$10*'Calcs - Power'!$G127+'Emissions Factors'!$E$11*('Calcs - Power'!H127+'Calcs - Power'!I127+'Calcs - Power'!J127+'Calcs - Power'!K127))</f>
        <v>4743.0258462898619</v>
      </c>
      <c r="AM128" s="366">
        <f>(102*'Emissions Factors'!$E$10*'Calcs - Power'!$B127+'Emissions Factors'!$E$11*('Calcs - Power'!C127+'Calcs - Power'!D127+'Calcs - Power'!E127+'Calcs - Power'!F127))</f>
        <v>315642.40885243606</v>
      </c>
      <c r="AN128" s="359">
        <f>(102*'Emissions Factors'!$D$10*'Calcs - Power'!$G127+'Emissions Factors'!$D$11*('Calcs - Power'!$H127+'Calcs - Power'!$I127+'Calcs - Power'!$J127+'Calcs - Power'!$K127))</f>
        <v>4068.0830242982543</v>
      </c>
      <c r="AO128" s="366">
        <f>(102*'Emissions Factors'!$D$10*'Calcs - Power'!$B127+'Emissions Factors'!$D$11*('Calcs - Power'!$C127+'Calcs - Power'!$D127+'Calcs - Power'!$E127+'Calcs - Power'!$F127))</f>
        <v>294404.53865116456</v>
      </c>
      <c r="AP128" s="367">
        <f>(102*'Emissions Factors'!$E$10*'Calcs - Power'!$G127+'Emissions Factors'!$E$11*('Calcs - Power'!H127+'Calcs - Power'!I127+'Calcs - Power'!J127+'Calcs - Power'!K127))</f>
        <v>4743.0258462898619</v>
      </c>
      <c r="AQ128" s="366">
        <f>(102*'Emissions Factors'!$E$10*'Calcs - Power'!$B127+'Emissions Factors'!$E$11*('Calcs - Power'!C127+'Calcs - Power'!D127+'Calcs - Power'!E127+'Calcs - Power'!F127))</f>
        <v>315642.40885243606</v>
      </c>
      <c r="AS128" s="357"/>
      <c r="AT128" s="357"/>
      <c r="AU128" s="357"/>
      <c r="AV128" s="357"/>
      <c r="AX128" s="358">
        <f t="shared" si="23"/>
        <v>116</v>
      </c>
      <c r="AY128" s="359">
        <f>(('Methane Leakage'!$G$6/'Methane Leakage'!$G$5)*102*'Emissions Factors'!$F$10*'Calcs - Power'!$G127+'Emissions Factors'!$F$11*('Calcs - Power'!$H127+'Calcs - Power'!$I127+'Calcs - Power'!$J127+'Calcs - Power'!$K127))</f>
        <v>5557644.3937562928</v>
      </c>
      <c r="AZ128" s="366">
        <f>(('Methane Leakage'!$G$6/'Methane Leakage'!$G$5)*102*'Emissions Factors'!$F$10*'Calcs - Power'!$B127+'Emissions Factors'!$F$11*('Calcs - Power'!$C127+'Calcs - Power'!$D127+'Calcs - Power'!$E127+'Calcs - Power'!$F127))</f>
        <v>392536531.29710889</v>
      </c>
      <c r="BA128" s="359">
        <f>(102*'Emissions Factors'!$G$10*'Calcs - Power'!$G127+'Emissions Factors'!$G$11*('Calcs - Power'!H127+'Calcs - Power'!I127+'Calcs - Power'!J127+'Calcs - Power'!K127))</f>
        <v>5474804.8153455267</v>
      </c>
      <c r="BB128" s="366">
        <f>(102*'Emissions Factors'!$G$10*'Calcs - Power'!$B127+'Emissions Factors'!$G$11*('Calcs - Power'!C127+'Calcs - Power'!D127+'Calcs - Power'!E127+'Calcs - Power'!F127))</f>
        <v>363309568.9071697</v>
      </c>
      <c r="BC128" s="359">
        <f>(102*'Emissions Factors'!$F$10*'Calcs - Power'!$G127+'Emissions Factors'!$F$11*('Calcs - Power'!$H127+'Calcs - Power'!$I127+'Calcs - Power'!$J127+'Calcs - Power'!$K127))</f>
        <v>5557644.3937562928</v>
      </c>
      <c r="BD128" s="366">
        <f>(102*'Emissions Factors'!$F$10*'Calcs - Power'!$B127+'Emissions Factors'!$F$11*('Calcs - Power'!$C127+'Calcs - Power'!$D127+'Calcs - Power'!$E127+'Calcs - Power'!$F127))</f>
        <v>392536531.29710889</v>
      </c>
      <c r="BE128" s="359">
        <f>(102*'Emissions Factors'!$G$10*'Calcs - Power'!$G127+'Emissions Factors'!$G$11*('Calcs - Power'!H127+'Calcs - Power'!I127+'Calcs - Power'!J127+'Calcs - Power'!K127))</f>
        <v>5474804.8153455267</v>
      </c>
      <c r="BF128" s="366">
        <f>(102*'Emissions Factors'!$G$10*'Calcs - Power'!$B127+'Emissions Factors'!$G$11*('Calcs - Power'!C127+'Calcs - Power'!D127+'Calcs - Power'!E127+'Calcs - Power'!F127))</f>
        <v>363309568.9071697</v>
      </c>
    </row>
    <row r="129" spans="1:58" x14ac:dyDescent="0.3">
      <c r="A129" s="351">
        <f t="shared" si="20"/>
        <v>117</v>
      </c>
      <c r="B129" s="352">
        <f t="shared" si="14"/>
        <v>0.99999999999999989</v>
      </c>
      <c r="C129" s="363">
        <f t="shared" si="15"/>
        <v>0.99999999999999978</v>
      </c>
      <c r="D129" s="352">
        <f t="shared" si="16"/>
        <v>1</v>
      </c>
      <c r="E129" s="364">
        <f t="shared" si="17"/>
        <v>1</v>
      </c>
      <c r="F129" s="364">
        <f t="shared" si="18"/>
        <v>1</v>
      </c>
      <c r="G129" s="365">
        <f t="shared" si="19"/>
        <v>1</v>
      </c>
      <c r="P129" s="358">
        <f t="shared" si="21"/>
        <v>117</v>
      </c>
      <c r="Q129" s="359">
        <f>(('Methane Leakage'!$C$6/'Methane Leakage'!$C$5)*102*'Emissions Factors'!$C$38*'Calcs - Power'!$G128+'Emissions Factors'!$C$37*('Calcs - Power'!$H128+'Calcs - Power'!$I128+'Calcs - Power'!$J128+'Calcs - Power'!$K128))</f>
        <v>29660.712877449529</v>
      </c>
      <c r="R129" s="366">
        <f>(('Methane Leakage'!$C$6/'Methane Leakage'!$C$5)*102*'Emissions Factors'!$C$38*'Calcs - Power'!$B128+'Emissions Factors'!$C$37*('Calcs - Power'!$C128+'Calcs - Power'!$D128+'Calcs - Power'!$E128+'Calcs - Power'!$F128))</f>
        <v>2115829.021825349</v>
      </c>
      <c r="S129" s="359">
        <f>(('Methane Leakage'!$C$6/'Methane Leakage'!$C$5)*102*'Emissions Factors'!$D$38*'Calcs - Power'!$G128+'Emissions Factors'!$D$37*('Calcs - Power'!$H128+'Calcs - Power'!$I128+'Calcs - Power'!$J128+'Calcs - Power'!$K128))</f>
        <v>29660.712877449529</v>
      </c>
      <c r="T129" s="366">
        <f>(('Methane Leakage'!$C$6/'Methane Leakage'!$C$5)*102*'Emissions Factors'!$D$38*'Calcs - Power'!$B128+'Emissions Factors'!$D$37*('Calcs - Power'!$C128+'Calcs - Power'!$D128+'Calcs - Power'!$E128+'Calcs - Power'!$F128))</f>
        <v>2115829.021825349</v>
      </c>
      <c r="U129" s="361">
        <f>(102*'Emissions Factors'!$C$36*'Calcs - Power'!$G128+'Emissions Factors'!$C$35*('Calcs - Power'!$H128+'Calcs - Power'!$I128+'Calcs - Power'!$J128+'Calcs - Power'!$K128))</f>
        <v>53549.636585310291</v>
      </c>
      <c r="V129" s="366">
        <f>(102*'Emissions Factors'!$C$36*'Calcs - Power'!$B128+'Emissions Factors'!$C$35*('Calcs - Power'!$C128+'Calcs - Power'!$D128+'Calcs - Power'!$E128+'Calcs - Power'!$F128))</f>
        <v>3575218.3231959306</v>
      </c>
      <c r="W129" s="359">
        <f>(102*'Emissions Factors'!$D$36*'Calcs - Power'!$G128+'Emissions Factors'!$D$35*('Calcs - Power'!$H128+'Calcs - Power'!$I128+'Calcs - Power'!$J128+'Calcs - Power'!$K128))</f>
        <v>53549.636585310291</v>
      </c>
      <c r="X129" s="366">
        <f>(102*'Emissions Factors'!$D$36*'Calcs - Power'!$B128+'Emissions Factors'!$D$35*('Calcs - Power'!$C128+'Calcs - Power'!$D128+'Calcs - Power'!$E128+'Calcs - Power'!$F128))</f>
        <v>3575218.3231959306</v>
      </c>
      <c r="Y129" s="359">
        <f>(102*'Emissions Factors'!$C$38*'Calcs - Power'!$G128+'Emissions Factors'!$C$37*('Calcs - Power'!$H128+'Calcs - Power'!$I128+'Calcs - Power'!$J128+'Calcs - Power'!$K128))</f>
        <v>29660.712877449529</v>
      </c>
      <c r="Z129" s="366">
        <f>(102*'Emissions Factors'!$C$38*'Calcs - Power'!$B128+'Emissions Factors'!$C$37*('Calcs - Power'!$C128+'Calcs - Power'!$D128+'Calcs - Power'!$E128+'Calcs - Power'!$F128))</f>
        <v>2115829.021825349</v>
      </c>
      <c r="AA129" s="359">
        <f>(102*'Emissions Factors'!$C$36*'Calcs - Power'!$G128+'Emissions Factors'!$C$35*('Calcs - Power'!$H128+'Calcs - Power'!$I128+'Calcs - Power'!$J128+'Calcs - Power'!$K128))</f>
        <v>53549.636585310291</v>
      </c>
      <c r="AB129" s="366">
        <f>(102*'Emissions Factors'!$C$36*'Calcs - Power'!$B128+'Emissions Factors'!$C$35*('Calcs - Power'!$C128+'Calcs - Power'!$D128+'Calcs - Power'!$E128+'Calcs - Power'!$F128))</f>
        <v>3575218.3231959306</v>
      </c>
      <c r="AI129" s="358">
        <f t="shared" si="22"/>
        <v>117</v>
      </c>
      <c r="AJ129" s="359">
        <f>(('Methane Leakage'!$G$6/'Methane Leakage'!$G$5)*102*'Emissions Factors'!$D$10*'Calcs - Power'!$G128+'Emissions Factors'!$D$11*('Calcs - Power'!$H128+'Calcs - Power'!$I128+'Calcs - Power'!$J128+'Calcs - Power'!$K128))</f>
        <v>4089.920946392087</v>
      </c>
      <c r="AK129" s="366">
        <f>(('Methane Leakage'!$G$6/'Methane Leakage'!$G$5)*102*'Emissions Factors'!$D$10*'Calcs - Power'!$B128+'Emissions Factors'!$D$11*('Calcs - Power'!$C128+'Calcs - Power'!$D128+'Calcs - Power'!$E128+'Calcs - Power'!$F128))</f>
        <v>298483.54481131502</v>
      </c>
      <c r="AL129" s="359">
        <f>(102*'Emissions Factors'!$E$10*'Calcs - Power'!$G128+'Emissions Factors'!$E$11*('Calcs - Power'!H128+'Calcs - Power'!I128+'Calcs - Power'!J128+'Calcs - Power'!K128))</f>
        <v>4773.1667276750859</v>
      </c>
      <c r="AM129" s="366">
        <f>(102*'Emissions Factors'!$E$10*'Calcs - Power'!$B128+'Emissions Factors'!$E$11*('Calcs - Power'!C128+'Calcs - Power'!D128+'Calcs - Power'!E128+'Calcs - Power'!F128))</f>
        <v>320400.51087166741</v>
      </c>
      <c r="AN129" s="359">
        <f>(102*'Emissions Factors'!$D$10*'Calcs - Power'!$G128+'Emissions Factors'!$D$11*('Calcs - Power'!$H128+'Calcs - Power'!$I128+'Calcs - Power'!$J128+'Calcs - Power'!$K128))</f>
        <v>4089.920946392087</v>
      </c>
      <c r="AO129" s="366">
        <f>(102*'Emissions Factors'!$D$10*'Calcs - Power'!$B128+'Emissions Factors'!$D$11*('Calcs - Power'!$C128+'Calcs - Power'!$D128+'Calcs - Power'!$E128+'Calcs - Power'!$F128))</f>
        <v>298483.54481131502</v>
      </c>
      <c r="AP129" s="367">
        <f>(102*'Emissions Factors'!$E$10*'Calcs - Power'!$G128+'Emissions Factors'!$E$11*('Calcs - Power'!H128+'Calcs - Power'!I128+'Calcs - Power'!J128+'Calcs - Power'!K128))</f>
        <v>4773.1667276750859</v>
      </c>
      <c r="AQ129" s="366">
        <f>(102*'Emissions Factors'!$E$10*'Calcs - Power'!$B128+'Emissions Factors'!$E$11*('Calcs - Power'!C128+'Calcs - Power'!D128+'Calcs - Power'!E128+'Calcs - Power'!F128))</f>
        <v>320400.51087166741</v>
      </c>
      <c r="AS129" s="357"/>
      <c r="AT129" s="357"/>
      <c r="AU129" s="357"/>
      <c r="AV129" s="357"/>
      <c r="AX129" s="358">
        <f t="shared" si="23"/>
        <v>117</v>
      </c>
      <c r="AY129" s="359">
        <f>(('Methane Leakage'!$G$6/'Methane Leakage'!$G$5)*102*'Emissions Factors'!$F$10*'Calcs - Power'!$G128+'Emissions Factors'!$F$11*('Calcs - Power'!$H128+'Calcs - Power'!$I128+'Calcs - Power'!$J128+'Calcs - Power'!$K128))</f>
        <v>5589117.0593214398</v>
      </c>
      <c r="AZ129" s="366">
        <f>(('Methane Leakage'!$G$6/'Methane Leakage'!$G$5)*102*'Emissions Factors'!$F$10*'Calcs - Power'!$B128+'Emissions Factors'!$F$11*('Calcs - Power'!$C128+'Calcs - Power'!$D128+'Calcs - Power'!$E128+'Calcs - Power'!$F128))</f>
        <v>398109918.02989626</v>
      </c>
      <c r="BA129" s="359">
        <f>(102*'Emissions Factors'!$G$10*'Calcs - Power'!$G128+'Emissions Factors'!$G$11*('Calcs - Power'!H128+'Calcs - Power'!I128+'Calcs - Power'!J128+'Calcs - Power'!K128))</f>
        <v>5509770.8954951884</v>
      </c>
      <c r="BB129" s="366">
        <f>(102*'Emissions Factors'!$G$10*'Calcs - Power'!$B128+'Emissions Factors'!$G$11*('Calcs - Power'!C128+'Calcs - Power'!D128+'Calcs - Power'!E128+'Calcs - Power'!F128))</f>
        <v>368801863.41156167</v>
      </c>
      <c r="BC129" s="359">
        <f>(102*'Emissions Factors'!$F$10*'Calcs - Power'!$G128+'Emissions Factors'!$F$11*('Calcs - Power'!$H128+'Calcs - Power'!$I128+'Calcs - Power'!$J128+'Calcs - Power'!$K128))</f>
        <v>5589117.0593214398</v>
      </c>
      <c r="BD129" s="366">
        <f>(102*'Emissions Factors'!$F$10*'Calcs - Power'!$B128+'Emissions Factors'!$F$11*('Calcs - Power'!$C128+'Calcs - Power'!$D128+'Calcs - Power'!$E128+'Calcs - Power'!$F128))</f>
        <v>398109918.02989626</v>
      </c>
      <c r="BE129" s="359">
        <f>(102*'Emissions Factors'!$G$10*'Calcs - Power'!$G128+'Emissions Factors'!$G$11*('Calcs - Power'!H128+'Calcs - Power'!I128+'Calcs - Power'!J128+'Calcs - Power'!K128))</f>
        <v>5509770.8954951884</v>
      </c>
      <c r="BF129" s="366">
        <f>(102*'Emissions Factors'!$G$10*'Calcs - Power'!$B128+'Emissions Factors'!$G$11*('Calcs - Power'!C128+'Calcs - Power'!D128+'Calcs - Power'!E128+'Calcs - Power'!F128))</f>
        <v>368801863.41156167</v>
      </c>
    </row>
    <row r="130" spans="1:58" x14ac:dyDescent="0.3">
      <c r="A130" s="351">
        <f t="shared" si="20"/>
        <v>118</v>
      </c>
      <c r="B130" s="352">
        <f t="shared" si="14"/>
        <v>0.99999999999999989</v>
      </c>
      <c r="C130" s="363">
        <f t="shared" si="15"/>
        <v>1</v>
      </c>
      <c r="D130" s="352">
        <f t="shared" si="16"/>
        <v>1</v>
      </c>
      <c r="E130" s="364">
        <f t="shared" si="17"/>
        <v>1</v>
      </c>
      <c r="F130" s="364">
        <f t="shared" si="18"/>
        <v>1</v>
      </c>
      <c r="G130" s="365">
        <f t="shared" si="19"/>
        <v>1</v>
      </c>
      <c r="P130" s="358">
        <f t="shared" si="21"/>
        <v>118</v>
      </c>
      <c r="Q130" s="359">
        <f>(('Methane Leakage'!$C$6/'Methane Leakage'!$C$5)*102*'Emissions Factors'!$C$38*'Calcs - Power'!$G129+'Emissions Factors'!$C$37*('Calcs - Power'!$H129+'Calcs - Power'!$I129+'Calcs - Power'!$J129+'Calcs - Power'!$K129))</f>
        <v>29826.836092875121</v>
      </c>
      <c r="R130" s="366">
        <f>(('Methane Leakage'!$C$6/'Methane Leakage'!$C$5)*102*'Emissions Factors'!$C$38*'Calcs - Power'!$B129+'Emissions Factors'!$C$37*('Calcs - Power'!$C129+'Calcs - Power'!$D129+'Calcs - Power'!$E129+'Calcs - Power'!$F129))</f>
        <v>2145572.8278327095</v>
      </c>
      <c r="S130" s="359">
        <f>(('Methane Leakage'!$C$6/'Methane Leakage'!$C$5)*102*'Emissions Factors'!$D$38*'Calcs - Power'!$G129+'Emissions Factors'!$D$37*('Calcs - Power'!$H129+'Calcs - Power'!$I129+'Calcs - Power'!$J129+'Calcs - Power'!$K129))</f>
        <v>29826.836092875121</v>
      </c>
      <c r="T130" s="366">
        <f>(('Methane Leakage'!$C$6/'Methane Leakage'!$C$5)*102*'Emissions Factors'!$D$38*'Calcs - Power'!$B129+'Emissions Factors'!$D$37*('Calcs - Power'!$C129+'Calcs - Power'!$D129+'Calcs - Power'!$E129+'Calcs - Power'!$F129))</f>
        <v>2145572.8278327095</v>
      </c>
      <c r="U130" s="361">
        <f>(102*'Emissions Factors'!$C$36*'Calcs - Power'!$G129+'Emissions Factors'!$C$35*('Calcs - Power'!$H129+'Calcs - Power'!$I129+'Calcs - Power'!$J129+'Calcs - Power'!$K129))</f>
        <v>53890.226005978126</v>
      </c>
      <c r="V130" s="366">
        <f>(102*'Emissions Factors'!$C$36*'Calcs - Power'!$B129+'Emissions Factors'!$C$35*('Calcs - Power'!$C129+'Calcs - Power'!$D129+'Calcs - Power'!$E129+'Calcs - Power'!$F129))</f>
        <v>3628938.3188902782</v>
      </c>
      <c r="W130" s="359">
        <f>(102*'Emissions Factors'!$D$36*'Calcs - Power'!$G129+'Emissions Factors'!$D$35*('Calcs - Power'!$H129+'Calcs - Power'!$I129+'Calcs - Power'!$J129+'Calcs - Power'!$K129))</f>
        <v>53890.226005978126</v>
      </c>
      <c r="X130" s="366">
        <f>(102*'Emissions Factors'!$D$36*'Calcs - Power'!$B129+'Emissions Factors'!$D$35*('Calcs - Power'!$C129+'Calcs - Power'!$D129+'Calcs - Power'!$E129+'Calcs - Power'!$F129))</f>
        <v>3628938.3188902782</v>
      </c>
      <c r="Y130" s="359">
        <f>(102*'Emissions Factors'!$C$38*'Calcs - Power'!$G129+'Emissions Factors'!$C$37*('Calcs - Power'!$H129+'Calcs - Power'!$I129+'Calcs - Power'!$J129+'Calcs - Power'!$K129))</f>
        <v>29826.836092875121</v>
      </c>
      <c r="Z130" s="366">
        <f>(102*'Emissions Factors'!$C$38*'Calcs - Power'!$B129+'Emissions Factors'!$C$37*('Calcs - Power'!$C129+'Calcs - Power'!$D129+'Calcs - Power'!$E129+'Calcs - Power'!$F129))</f>
        <v>2145572.8278327095</v>
      </c>
      <c r="AA130" s="359">
        <f>(102*'Emissions Factors'!$C$36*'Calcs - Power'!$G129+'Emissions Factors'!$C$35*('Calcs - Power'!$H129+'Calcs - Power'!$I129+'Calcs - Power'!$J129+'Calcs - Power'!$K129))</f>
        <v>53890.226005978126</v>
      </c>
      <c r="AB130" s="366">
        <f>(102*'Emissions Factors'!$C$36*'Calcs - Power'!$B129+'Emissions Factors'!$C$35*('Calcs - Power'!$C129+'Calcs - Power'!$D129+'Calcs - Power'!$E129+'Calcs - Power'!$F129))</f>
        <v>3628938.3188902782</v>
      </c>
      <c r="AI130" s="358">
        <f t="shared" si="22"/>
        <v>118</v>
      </c>
      <c r="AJ130" s="359">
        <f>(('Methane Leakage'!$G$6/'Methane Leakage'!$G$5)*102*'Emissions Factors'!$D$10*'Calcs - Power'!$G129+'Emissions Factors'!$D$11*('Calcs - Power'!$H129+'Calcs - Power'!$I129+'Calcs - Power'!$J129+'Calcs - Power'!$K129))</f>
        <v>4111.708976611626</v>
      </c>
      <c r="AK130" s="366">
        <f>(('Methane Leakage'!$G$6/'Methane Leakage'!$G$5)*102*'Emissions Factors'!$D$10*'Calcs - Power'!$B129+'Emissions Factors'!$D$11*('Calcs - Power'!$C129+'Calcs - Power'!$D129+'Calcs - Power'!$E129+'Calcs - Power'!$F129))</f>
        <v>302584.36391343083</v>
      </c>
      <c r="AL130" s="359">
        <f>(102*'Emissions Factors'!$E$10*'Calcs - Power'!$G129+'Emissions Factors'!$E$11*('Calcs - Power'!H129+'Calcs - Power'!I129+'Calcs - Power'!J129+'Calcs - Power'!K129))</f>
        <v>4803.2390912571846</v>
      </c>
      <c r="AM130" s="366">
        <f>(102*'Emissions Factors'!$E$10*'Calcs - Power'!$B129+'Emissions Factors'!$E$11*('Calcs - Power'!C129+'Calcs - Power'!D129+'Calcs - Power'!E129+'Calcs - Power'!F129))</f>
        <v>325188.71946863877</v>
      </c>
      <c r="AN130" s="359">
        <f>(102*'Emissions Factors'!$D$10*'Calcs - Power'!$G129+'Emissions Factors'!$D$11*('Calcs - Power'!$H129+'Calcs - Power'!$I129+'Calcs - Power'!$J129+'Calcs - Power'!$K129))</f>
        <v>4111.708976611626</v>
      </c>
      <c r="AO130" s="366">
        <f>(102*'Emissions Factors'!$D$10*'Calcs - Power'!$B129+'Emissions Factors'!$D$11*('Calcs - Power'!$C129+'Calcs - Power'!$D129+'Calcs - Power'!$E129+'Calcs - Power'!$F129))</f>
        <v>302584.36391343083</v>
      </c>
      <c r="AP130" s="367">
        <f>(102*'Emissions Factors'!$E$10*'Calcs - Power'!$G129+'Emissions Factors'!$E$11*('Calcs - Power'!H129+'Calcs - Power'!I129+'Calcs - Power'!J129+'Calcs - Power'!K129))</f>
        <v>4803.2390912571846</v>
      </c>
      <c r="AQ130" s="366">
        <f>(102*'Emissions Factors'!$E$10*'Calcs - Power'!$B129+'Emissions Factors'!$E$11*('Calcs - Power'!C129+'Calcs - Power'!D129+'Calcs - Power'!E129+'Calcs - Power'!F129))</f>
        <v>325188.71946863877</v>
      </c>
      <c r="AS130" s="357"/>
      <c r="AT130" s="357"/>
      <c r="AU130" s="357"/>
      <c r="AV130" s="357"/>
      <c r="AX130" s="358">
        <f t="shared" si="23"/>
        <v>118</v>
      </c>
      <c r="AY130" s="359">
        <f>(('Methane Leakage'!$G$6/'Methane Leakage'!$G$5)*102*'Emissions Factors'!$F$10*'Calcs - Power'!$G129+'Emissions Factors'!$F$11*('Calcs - Power'!$H129+'Calcs - Power'!$I129+'Calcs - Power'!$J129+'Calcs - Power'!$K129))</f>
        <v>5620517.9412868256</v>
      </c>
      <c r="AZ130" s="366">
        <f>(('Methane Leakage'!$G$6/'Methane Leakage'!$G$5)*102*'Emissions Factors'!$F$10*'Calcs - Power'!$B129+'Emissions Factors'!$F$11*('Calcs - Power'!$C129+'Calcs - Power'!$D129+'Calcs - Power'!$E129+'Calcs - Power'!$F129))</f>
        <v>403714741.48802966</v>
      </c>
      <c r="BA130" s="359">
        <f>(102*'Emissions Factors'!$G$10*'Calcs - Power'!$G129+'Emissions Factors'!$G$11*('Calcs - Power'!H129+'Calcs - Power'!I129+'Calcs - Power'!J129+'Calcs - Power'!K129))</f>
        <v>5544657.4997924501</v>
      </c>
      <c r="BB130" s="366">
        <f>(102*'Emissions Factors'!$G$10*'Calcs - Power'!$B129+'Emissions Factors'!$G$11*('Calcs - Power'!C129+'Calcs - Power'!D129+'Calcs - Power'!E129+'Calcs - Power'!F129))</f>
        <v>374329084.20634788</v>
      </c>
      <c r="BC130" s="359">
        <f>(102*'Emissions Factors'!$F$10*'Calcs - Power'!$G129+'Emissions Factors'!$F$11*('Calcs - Power'!$H129+'Calcs - Power'!$I129+'Calcs - Power'!$J129+'Calcs - Power'!$K129))</f>
        <v>5620517.9412868256</v>
      </c>
      <c r="BD130" s="366">
        <f>(102*'Emissions Factors'!$F$10*'Calcs - Power'!$B129+'Emissions Factors'!$F$11*('Calcs - Power'!$C129+'Calcs - Power'!$D129+'Calcs - Power'!$E129+'Calcs - Power'!$F129))</f>
        <v>403714741.48802966</v>
      </c>
      <c r="BE130" s="359">
        <f>(102*'Emissions Factors'!$G$10*'Calcs - Power'!$G129+'Emissions Factors'!$G$11*('Calcs - Power'!H129+'Calcs - Power'!I129+'Calcs - Power'!J129+'Calcs - Power'!K129))</f>
        <v>5544657.4997924501</v>
      </c>
      <c r="BF130" s="366">
        <f>(102*'Emissions Factors'!$G$10*'Calcs - Power'!$B129+'Emissions Factors'!$G$11*('Calcs - Power'!C129+'Calcs - Power'!D129+'Calcs - Power'!E129+'Calcs - Power'!F129))</f>
        <v>374329084.20634788</v>
      </c>
    </row>
    <row r="131" spans="1:58" x14ac:dyDescent="0.3">
      <c r="A131" s="351">
        <f t="shared" si="20"/>
        <v>119</v>
      </c>
      <c r="B131" s="352">
        <f t="shared" si="14"/>
        <v>0.99999999999999989</v>
      </c>
      <c r="C131" s="363">
        <f t="shared" si="15"/>
        <v>0.99999999999999978</v>
      </c>
      <c r="D131" s="352">
        <f t="shared" si="16"/>
        <v>1</v>
      </c>
      <c r="E131" s="364">
        <f t="shared" si="17"/>
        <v>1</v>
      </c>
      <c r="F131" s="364">
        <f t="shared" si="18"/>
        <v>1</v>
      </c>
      <c r="G131" s="365">
        <f t="shared" si="19"/>
        <v>1</v>
      </c>
      <c r="P131" s="358">
        <f t="shared" si="21"/>
        <v>119</v>
      </c>
      <c r="Q131" s="359">
        <f>(('Methane Leakage'!$C$6/'Methane Leakage'!$C$5)*102*'Emissions Factors'!$C$38*'Calcs - Power'!$G130+'Emissions Factors'!$C$37*('Calcs - Power'!$H130+'Calcs - Power'!$I130+'Calcs - Power'!$J130+'Calcs - Power'!$K130))</f>
        <v>29992.5825511248</v>
      </c>
      <c r="R131" s="366">
        <f>(('Methane Leakage'!$C$6/'Methane Leakage'!$C$5)*102*'Emissions Factors'!$C$38*'Calcs - Power'!$B130+'Emissions Factors'!$C$37*('Calcs - Power'!$C130+'Calcs - Power'!$D130+'Calcs - Power'!$E130+'Calcs - Power'!$F130))</f>
        <v>2175482.5684261038</v>
      </c>
      <c r="S131" s="359">
        <f>(('Methane Leakage'!$C$6/'Methane Leakage'!$C$5)*102*'Emissions Factors'!$D$38*'Calcs - Power'!$G130+'Emissions Factors'!$D$37*('Calcs - Power'!$H130+'Calcs - Power'!$I130+'Calcs - Power'!$J130+'Calcs - Power'!$K130))</f>
        <v>29992.5825511248</v>
      </c>
      <c r="T131" s="366">
        <f>(('Methane Leakage'!$C$6/'Methane Leakage'!$C$5)*102*'Emissions Factors'!$D$38*'Calcs - Power'!$B130+'Emissions Factors'!$D$37*('Calcs - Power'!$C130+'Calcs - Power'!$D130+'Calcs - Power'!$E130+'Calcs - Power'!$F130))</f>
        <v>2175482.5684261038</v>
      </c>
      <c r="U131" s="361">
        <f>(102*'Emissions Factors'!$C$36*'Calcs - Power'!$G130+'Emissions Factors'!$C$35*('Calcs - Power'!$H130+'Calcs - Power'!$I130+'Calcs - Power'!$J130+'Calcs - Power'!$K130))</f>
        <v>54230.04562261235</v>
      </c>
      <c r="V131" s="366">
        <f>(102*'Emissions Factors'!$C$36*'Calcs - Power'!$B130+'Emissions Factors'!$C$35*('Calcs - Power'!$C130+'Calcs - Power'!$D130+'Calcs - Power'!$E130+'Calcs - Power'!$F130))</f>
        <v>3682998.5186078292</v>
      </c>
      <c r="W131" s="359">
        <f>(102*'Emissions Factors'!$D$36*'Calcs - Power'!$G130+'Emissions Factors'!$D$35*('Calcs - Power'!$H130+'Calcs - Power'!$I130+'Calcs - Power'!$J130+'Calcs - Power'!$K130))</f>
        <v>54230.04562261235</v>
      </c>
      <c r="X131" s="366">
        <f>(102*'Emissions Factors'!$D$36*'Calcs - Power'!$B130+'Emissions Factors'!$D$35*('Calcs - Power'!$C130+'Calcs - Power'!$D130+'Calcs - Power'!$E130+'Calcs - Power'!$F130))</f>
        <v>3682998.5186078292</v>
      </c>
      <c r="Y131" s="359">
        <f>(102*'Emissions Factors'!$C$38*'Calcs - Power'!$G130+'Emissions Factors'!$C$37*('Calcs - Power'!$H130+'Calcs - Power'!$I130+'Calcs - Power'!$J130+'Calcs - Power'!$K130))</f>
        <v>29992.5825511248</v>
      </c>
      <c r="Z131" s="366">
        <f>(102*'Emissions Factors'!$C$38*'Calcs - Power'!$B130+'Emissions Factors'!$C$37*('Calcs - Power'!$C130+'Calcs - Power'!$D130+'Calcs - Power'!$E130+'Calcs - Power'!$F130))</f>
        <v>2175482.5684261038</v>
      </c>
      <c r="AA131" s="359">
        <f>(102*'Emissions Factors'!$C$36*'Calcs - Power'!$G130+'Emissions Factors'!$C$35*('Calcs - Power'!$H130+'Calcs - Power'!$I130+'Calcs - Power'!$J130+'Calcs - Power'!$K130))</f>
        <v>54230.04562261235</v>
      </c>
      <c r="AB131" s="366">
        <f>(102*'Emissions Factors'!$C$36*'Calcs - Power'!$B130+'Emissions Factors'!$C$35*('Calcs - Power'!$C130+'Calcs - Power'!$D130+'Calcs - Power'!$E130+'Calcs - Power'!$F130))</f>
        <v>3682998.5186078292</v>
      </c>
      <c r="AI131" s="358">
        <f t="shared" si="22"/>
        <v>119</v>
      </c>
      <c r="AJ131" s="359">
        <f>(('Methane Leakage'!$G$6/'Methane Leakage'!$G$5)*102*'Emissions Factors'!$D$10*'Calcs - Power'!$G130+'Emissions Factors'!$D$11*('Calcs - Power'!$H130+'Calcs - Power'!$I130+'Calcs - Power'!$J130+'Calcs - Power'!$K130))</f>
        <v>4133.4475205341068</v>
      </c>
      <c r="AK131" s="366">
        <f>(('Methane Leakage'!$G$6/'Methane Leakage'!$G$5)*102*'Emissions Factors'!$D$10*'Calcs - Power'!$B130+'Emissions Factors'!$D$11*('Calcs - Power'!$C130+'Calcs - Power'!$D130+'Calcs - Power'!$E130+'Calcs - Power'!$F130))</f>
        <v>306706.94626920734</v>
      </c>
      <c r="AL131" s="359">
        <f>(102*'Emissions Factors'!$E$10*'Calcs - Power'!$G130+'Emissions Factors'!$E$11*('Calcs - Power'!H130+'Calcs - Power'!I130+'Calcs - Power'!J130+'Calcs - Power'!K130))</f>
        <v>4833.243468636937</v>
      </c>
      <c r="AM131" s="366">
        <f>(102*'Emissions Factors'!$E$10*'Calcs - Power'!$B130+'Emissions Factors'!$E$11*('Calcs - Power'!C130+'Calcs - Power'!D130+'Calcs - Power'!E130+'Calcs - Power'!F130))</f>
        <v>330006.96639222931</v>
      </c>
      <c r="AN131" s="359">
        <f>(102*'Emissions Factors'!$D$10*'Calcs - Power'!$G130+'Emissions Factors'!$D$11*('Calcs - Power'!$H130+'Calcs - Power'!$I130+'Calcs - Power'!$J130+'Calcs - Power'!$K130))</f>
        <v>4133.4475205341068</v>
      </c>
      <c r="AO131" s="366">
        <f>(102*'Emissions Factors'!$D$10*'Calcs - Power'!$B130+'Emissions Factors'!$D$11*('Calcs - Power'!$C130+'Calcs - Power'!$D130+'Calcs - Power'!$E130+'Calcs - Power'!$F130))</f>
        <v>306706.94626920734</v>
      </c>
      <c r="AP131" s="367">
        <f>(102*'Emissions Factors'!$E$10*'Calcs - Power'!$G130+'Emissions Factors'!$E$11*('Calcs - Power'!H130+'Calcs - Power'!I130+'Calcs - Power'!J130+'Calcs - Power'!K130))</f>
        <v>4833.243468636937</v>
      </c>
      <c r="AQ131" s="366">
        <f>(102*'Emissions Factors'!$E$10*'Calcs - Power'!$B130+'Emissions Factors'!$E$11*('Calcs - Power'!C130+'Calcs - Power'!D130+'Calcs - Power'!E130+'Calcs - Power'!F130))</f>
        <v>330006.96639222931</v>
      </c>
      <c r="AS131" s="357"/>
      <c r="AT131" s="357"/>
      <c r="AU131" s="357"/>
      <c r="AV131" s="357"/>
      <c r="AX131" s="358">
        <f t="shared" si="23"/>
        <v>119</v>
      </c>
      <c r="AY131" s="359">
        <f>(('Methane Leakage'!$G$6/'Methane Leakage'!$G$5)*102*'Emissions Factors'!$F$10*'Calcs - Power'!$G130+'Emissions Factors'!$F$11*('Calcs - Power'!$H130+'Calcs - Power'!$I130+'Calcs - Power'!$J130+'Calcs - Power'!$K130))</f>
        <v>5651847.614300387</v>
      </c>
      <c r="AZ131" s="366">
        <f>(('Methane Leakage'!$G$6/'Methane Leakage'!$G$5)*102*'Emissions Factors'!$F$10*'Calcs - Power'!$B130+'Emissions Factors'!$F$11*('Calcs - Power'!$C130+'Calcs - Power'!$D130+'Calcs - Power'!$E130+'Calcs - Power'!$F130))</f>
        <v>409350930.17629009</v>
      </c>
      <c r="BA131" s="359">
        <f>(102*'Emissions Factors'!$G$10*'Calcs - Power'!$G130+'Emissions Factors'!$G$11*('Calcs - Power'!H130+'Calcs - Power'!I130+'Calcs - Power'!J130+'Calcs - Power'!K130))</f>
        <v>5579465.2440513875</v>
      </c>
      <c r="BB131" s="366">
        <f>(102*'Emissions Factors'!$G$10*'Calcs - Power'!$B130+'Emissions Factors'!$G$11*('Calcs - Power'!C130+'Calcs - Power'!D130+'Calcs - Power'!E130+'Calcs - Power'!F130))</f>
        <v>379891152.1245997</v>
      </c>
      <c r="BC131" s="359">
        <f>(102*'Emissions Factors'!$F$10*'Calcs - Power'!$G130+'Emissions Factors'!$F$11*('Calcs - Power'!$H130+'Calcs - Power'!$I130+'Calcs - Power'!$J130+'Calcs - Power'!$K130))</f>
        <v>5651847.614300387</v>
      </c>
      <c r="BD131" s="366">
        <f>(102*'Emissions Factors'!$F$10*'Calcs - Power'!$B130+'Emissions Factors'!$F$11*('Calcs - Power'!$C130+'Calcs - Power'!$D130+'Calcs - Power'!$E130+'Calcs - Power'!$F130))</f>
        <v>409350930.17629009</v>
      </c>
      <c r="BE131" s="359">
        <f>(102*'Emissions Factors'!$G$10*'Calcs - Power'!$G130+'Emissions Factors'!$G$11*('Calcs - Power'!H130+'Calcs - Power'!I130+'Calcs - Power'!J130+'Calcs - Power'!K130))</f>
        <v>5579465.2440513875</v>
      </c>
      <c r="BF131" s="366">
        <f>(102*'Emissions Factors'!$G$10*'Calcs - Power'!$B130+'Emissions Factors'!$G$11*('Calcs - Power'!C130+'Calcs - Power'!D130+'Calcs - Power'!E130+'Calcs - Power'!F130))</f>
        <v>379891152.1245997</v>
      </c>
    </row>
    <row r="132" spans="1:58" x14ac:dyDescent="0.3">
      <c r="A132" s="351">
        <f t="shared" si="20"/>
        <v>120</v>
      </c>
      <c r="B132" s="352">
        <f t="shared" si="14"/>
        <v>0.99999999999999989</v>
      </c>
      <c r="C132" s="363">
        <f t="shared" si="15"/>
        <v>0.99999999999999978</v>
      </c>
      <c r="D132" s="352">
        <f t="shared" si="16"/>
        <v>1</v>
      </c>
      <c r="E132" s="364">
        <f t="shared" si="17"/>
        <v>1</v>
      </c>
      <c r="F132" s="364">
        <f t="shared" si="18"/>
        <v>1</v>
      </c>
      <c r="G132" s="365">
        <f t="shared" si="19"/>
        <v>1</v>
      </c>
      <c r="P132" s="358">
        <f t="shared" si="21"/>
        <v>120</v>
      </c>
      <c r="Q132" s="359">
        <f>(('Methane Leakage'!$C$6/'Methane Leakage'!$C$5)*102*'Emissions Factors'!$C$38*'Calcs - Power'!$G131+'Emissions Factors'!$C$37*('Calcs - Power'!$H131+'Calcs - Power'!$I131+'Calcs - Power'!$J131+'Calcs - Power'!$K131))</f>
        <v>30157.955229595758</v>
      </c>
      <c r="R132" s="366">
        <f>(('Methane Leakage'!$C$6/'Methane Leakage'!$C$5)*102*'Emissions Factors'!$C$38*'Calcs - Power'!$B131+'Emissions Factors'!$C$37*('Calcs - Power'!$C131+'Calcs - Power'!$D131+'Calcs - Power'!$E131+'Calcs - Power'!$F131))</f>
        <v>2205557.868342394</v>
      </c>
      <c r="S132" s="359">
        <f>(('Methane Leakage'!$C$6/'Methane Leakage'!$C$5)*102*'Emissions Factors'!$D$38*'Calcs - Power'!$G131+'Emissions Factors'!$D$37*('Calcs - Power'!$H131+'Calcs - Power'!$I131+'Calcs - Power'!$J131+'Calcs - Power'!$K131))</f>
        <v>30157.955229595758</v>
      </c>
      <c r="T132" s="366">
        <f>(('Methane Leakage'!$C$6/'Methane Leakage'!$C$5)*102*'Emissions Factors'!$D$38*'Calcs - Power'!$B131+'Emissions Factors'!$D$37*('Calcs - Power'!$C131+'Calcs - Power'!$D131+'Calcs - Power'!$E131+'Calcs - Power'!$F131))</f>
        <v>2205557.868342394</v>
      </c>
      <c r="U132" s="361">
        <f>(102*'Emissions Factors'!$C$36*'Calcs - Power'!$G131+'Emissions Factors'!$C$35*('Calcs - Power'!$H131+'Calcs - Power'!$I131+'Calcs - Power'!$J131+'Calcs - Power'!$K131))</f>
        <v>54569.101323582319</v>
      </c>
      <c r="V132" s="366">
        <f>(102*'Emissions Factors'!$C$36*'Calcs - Power'!$B131+'Emissions Factors'!$C$35*('Calcs - Power'!$C131+'Calcs - Power'!$D131+'Calcs - Power'!$E131+'Calcs - Power'!$F131))</f>
        <v>3737398.1554981796</v>
      </c>
      <c r="W132" s="359">
        <f>(102*'Emissions Factors'!$D$36*'Calcs - Power'!$G131+'Emissions Factors'!$D$35*('Calcs - Power'!$H131+'Calcs - Power'!$I131+'Calcs - Power'!$J131+'Calcs - Power'!$K131))</f>
        <v>54569.101323582319</v>
      </c>
      <c r="X132" s="366">
        <f>(102*'Emissions Factors'!$D$36*'Calcs - Power'!$B131+'Emissions Factors'!$D$35*('Calcs - Power'!$C131+'Calcs - Power'!$D131+'Calcs - Power'!$E131+'Calcs - Power'!$F131))</f>
        <v>3737398.1554981796</v>
      </c>
      <c r="Y132" s="359">
        <f>(102*'Emissions Factors'!$C$38*'Calcs - Power'!$G131+'Emissions Factors'!$C$37*('Calcs - Power'!$H131+'Calcs - Power'!$I131+'Calcs - Power'!$J131+'Calcs - Power'!$K131))</f>
        <v>30157.955229595758</v>
      </c>
      <c r="Z132" s="366">
        <f>(102*'Emissions Factors'!$C$38*'Calcs - Power'!$B131+'Emissions Factors'!$C$37*('Calcs - Power'!$C131+'Calcs - Power'!$D131+'Calcs - Power'!$E131+'Calcs - Power'!$F131))</f>
        <v>2205557.868342394</v>
      </c>
      <c r="AA132" s="359">
        <f>(102*'Emissions Factors'!$C$36*'Calcs - Power'!$G131+'Emissions Factors'!$C$35*('Calcs - Power'!$H131+'Calcs - Power'!$I131+'Calcs - Power'!$J131+'Calcs - Power'!$K131))</f>
        <v>54569.101323582319</v>
      </c>
      <c r="AB132" s="366">
        <f>(102*'Emissions Factors'!$C$36*'Calcs - Power'!$B131+'Emissions Factors'!$C$35*('Calcs - Power'!$C131+'Calcs - Power'!$D131+'Calcs - Power'!$E131+'Calcs - Power'!$F131))</f>
        <v>3737398.1554981796</v>
      </c>
      <c r="AI132" s="358">
        <f t="shared" si="22"/>
        <v>120</v>
      </c>
      <c r="AJ132" s="359">
        <f>(('Methane Leakage'!$G$6/'Methane Leakage'!$G$5)*102*'Emissions Factors'!$D$10*'Calcs - Power'!$G131+'Emissions Factors'!$D$11*('Calcs - Power'!$H131+'Calcs - Power'!$I131+'Calcs - Power'!$J131+'Calcs - Power'!$K131))</f>
        <v>4155.1369746030114</v>
      </c>
      <c r="AK132" s="366">
        <f>(('Methane Leakage'!$G$6/'Methane Leakage'!$G$5)*102*'Emissions Factors'!$D$10*'Calcs - Power'!$B131+'Emissions Factors'!$D$11*('Calcs - Power'!$C131+'Calcs - Power'!$D131+'Calcs - Power'!$E131+'Calcs - Power'!$F131))</f>
        <v>310851.24259131087</v>
      </c>
      <c r="AL132" s="359">
        <f>(102*'Emissions Factors'!$E$10*'Calcs - Power'!$G131+'Emissions Factors'!$E$11*('Calcs - Power'!H131+'Calcs - Power'!I131+'Calcs - Power'!J131+'Calcs - Power'!K131))</f>
        <v>4863.1803810665233</v>
      </c>
      <c r="AM132" s="366">
        <f>(102*'Emissions Factors'!$E$10*'Calcs - Power'!$B131+'Emissions Factors'!$E$11*('Calcs - Power'!C131+'Calcs - Power'!D131+'Calcs - Power'!E131+'Calcs - Power'!F131))</f>
        <v>334855.18391770584</v>
      </c>
      <c r="AN132" s="359">
        <f>(102*'Emissions Factors'!$D$10*'Calcs - Power'!$G131+'Emissions Factors'!$D$11*('Calcs - Power'!$H131+'Calcs - Power'!$I131+'Calcs - Power'!$J131+'Calcs - Power'!$K131))</f>
        <v>4155.1369746030114</v>
      </c>
      <c r="AO132" s="366">
        <f>(102*'Emissions Factors'!$D$10*'Calcs - Power'!$B131+'Emissions Factors'!$D$11*('Calcs - Power'!$C131+'Calcs - Power'!$D131+'Calcs - Power'!$E131+'Calcs - Power'!$F131))</f>
        <v>310851.24259131087</v>
      </c>
      <c r="AP132" s="367">
        <f>(102*'Emissions Factors'!$E$10*'Calcs - Power'!$G131+'Emissions Factors'!$E$11*('Calcs - Power'!H131+'Calcs - Power'!I131+'Calcs - Power'!J131+'Calcs - Power'!K131))</f>
        <v>4863.1803810665233</v>
      </c>
      <c r="AQ132" s="366">
        <f>(102*'Emissions Factors'!$E$10*'Calcs - Power'!$B131+'Emissions Factors'!$E$11*('Calcs - Power'!C131+'Calcs - Power'!D131+'Calcs - Power'!E131+'Calcs - Power'!F131))</f>
        <v>334855.18391770584</v>
      </c>
      <c r="AS132" s="357"/>
      <c r="AT132" s="357"/>
      <c r="AU132" s="357"/>
      <c r="AV132" s="357"/>
      <c r="AX132" s="358">
        <f t="shared" si="23"/>
        <v>120</v>
      </c>
      <c r="AY132" s="359">
        <f>(('Methane Leakage'!$G$6/'Methane Leakage'!$G$5)*102*'Emissions Factors'!$F$10*'Calcs - Power'!$G131+'Emissions Factors'!$F$11*('Calcs - Power'!$H131+'Calcs - Power'!$I131+'Calcs - Power'!$J131+'Calcs - Power'!$K131))</f>
        <v>5683106.64063715</v>
      </c>
      <c r="AZ132" s="366">
        <f>(('Methane Leakage'!$G$6/'Methane Leakage'!$G$5)*102*'Emissions Factors'!$F$10*'Calcs - Power'!$B131+'Emissions Factors'!$F$11*('Calcs - Power'!$C131+'Calcs - Power'!$D131+'Calcs - Power'!$E131+'Calcs - Power'!$F131))</f>
        <v>415018413.16786897</v>
      </c>
      <c r="BA132" s="359">
        <f>(102*'Emissions Factors'!$G$10*'Calcs - Power'!$G131+'Emissions Factors'!$G$11*('Calcs - Power'!H131+'Calcs - Power'!I131+'Calcs - Power'!J131+'Calcs - Power'!K131))</f>
        <v>5614194.732152083</v>
      </c>
      <c r="BB132" s="366">
        <f>(102*'Emissions Factors'!$G$10*'Calcs - Power'!$B131+'Emissions Factors'!$G$11*('Calcs - Power'!C131+'Calcs - Power'!D131+'Calcs - Power'!E131+'Calcs - Power'!F131))</f>
        <v>385487988.60919142</v>
      </c>
      <c r="BC132" s="359">
        <f>(102*'Emissions Factors'!$F$10*'Calcs - Power'!$G131+'Emissions Factors'!$F$11*('Calcs - Power'!$H131+'Calcs - Power'!$I131+'Calcs - Power'!$J131+'Calcs - Power'!$K131))</f>
        <v>5683106.64063715</v>
      </c>
      <c r="BD132" s="366">
        <f>(102*'Emissions Factors'!$F$10*'Calcs - Power'!$B131+'Emissions Factors'!$F$11*('Calcs - Power'!$C131+'Calcs - Power'!$D131+'Calcs - Power'!$E131+'Calcs - Power'!$F131))</f>
        <v>415018413.16786897</v>
      </c>
      <c r="BE132" s="359">
        <f>(102*'Emissions Factors'!$G$10*'Calcs - Power'!$G131+'Emissions Factors'!$G$11*('Calcs - Power'!H131+'Calcs - Power'!I131+'Calcs - Power'!J131+'Calcs - Power'!K131))</f>
        <v>5614194.732152083</v>
      </c>
      <c r="BF132" s="366">
        <f>(102*'Emissions Factors'!$G$10*'Calcs - Power'!$B131+'Emissions Factors'!$G$11*('Calcs - Power'!C131+'Calcs - Power'!D131+'Calcs - Power'!E131+'Calcs - Power'!F131))</f>
        <v>385487988.60919142</v>
      </c>
    </row>
    <row r="133" spans="1:58" x14ac:dyDescent="0.3">
      <c r="A133" s="351">
        <f t="shared" si="20"/>
        <v>121</v>
      </c>
      <c r="B133" s="352">
        <f t="shared" ref="B133:B196" si="24">(($I$3*Q133)+($J$3*S133)+($K$3*U133)+($L$3*W133))/(($M$3*Y133)+($N$3*AA133))</f>
        <v>0.99999999999999989</v>
      </c>
      <c r="C133" s="363">
        <f t="shared" ref="C133:C196" si="25">(($I$3*R133)+($J$3*T133)+($K$3*V133)+($L$3*X133))/(($M$3*Z133)+($N$3*AB133))</f>
        <v>0.99999999999999978</v>
      </c>
      <c r="D133" s="352">
        <f t="shared" ref="D133:D196" si="26">(($AD$3*AJ133)+($AE$3*AL133))/(($AF$3*AN133)+($AG$3*AP133))</f>
        <v>1</v>
      </c>
      <c r="E133" s="364">
        <f t="shared" ref="E133:E196" si="27">(($AD$3*AK133)+($AE$3*AM133))/(($AF$3*AO133)+($AG$3*AQ133))</f>
        <v>1</v>
      </c>
      <c r="F133" s="364">
        <f t="shared" ref="F133:F196" si="28">(($AS$3*AY133)+($AT$3*BA133))/(($AU$3*BC133)+($AV$3*BE133))</f>
        <v>1</v>
      </c>
      <c r="G133" s="365">
        <f t="shared" ref="G133:G196" si="29">(($AS$3*AZ133)+($AT$3*BB133))/(($AU$3*BD133)+($AV$3*BF133))</f>
        <v>1</v>
      </c>
      <c r="P133" s="358">
        <f t="shared" si="21"/>
        <v>121</v>
      </c>
      <c r="Q133" s="359">
        <f>(('Methane Leakage'!$C$6/'Methane Leakage'!$C$5)*102*'Emissions Factors'!$C$38*'Calcs - Power'!$G132+'Emissions Factors'!$C$37*('Calcs - Power'!$H132+'Calcs - Power'!$I132+'Calcs - Power'!$J132+'Calcs - Power'!$K132))</f>
        <v>30322.95704316374</v>
      </c>
      <c r="R133" s="366">
        <f>(('Methane Leakage'!$C$6/'Methane Leakage'!$C$5)*102*'Emissions Factors'!$C$38*'Calcs - Power'!$B132+'Emissions Factors'!$C$37*('Calcs - Power'!$C132+'Calcs - Power'!$D132+'Calcs - Power'!$E132+'Calcs - Power'!$F132))</f>
        <v>2235798.3552643219</v>
      </c>
      <c r="S133" s="359">
        <f>(('Methane Leakage'!$C$6/'Methane Leakage'!$C$5)*102*'Emissions Factors'!$D$38*'Calcs - Power'!$G132+'Emissions Factors'!$D$37*('Calcs - Power'!$H132+'Calcs - Power'!$I132+'Calcs - Power'!$J132+'Calcs - Power'!$K132))</f>
        <v>30322.95704316374</v>
      </c>
      <c r="T133" s="366">
        <f>(('Methane Leakage'!$C$6/'Methane Leakage'!$C$5)*102*'Emissions Factors'!$D$38*'Calcs - Power'!$B132+'Emissions Factors'!$D$37*('Calcs - Power'!$C132+'Calcs - Power'!$D132+'Calcs - Power'!$E132+'Calcs - Power'!$F132))</f>
        <v>2235798.3552643219</v>
      </c>
      <c r="U133" s="361">
        <f>(102*'Emissions Factors'!$C$36*'Calcs - Power'!$G132+'Emissions Factors'!$C$35*('Calcs - Power'!$H132+'Calcs - Power'!$I132+'Calcs - Power'!$J132+'Calcs - Power'!$K132))</f>
        <v>54907.39888637713</v>
      </c>
      <c r="V133" s="366">
        <f>(102*'Emissions Factors'!$C$36*'Calcs - Power'!$B132+'Emissions Factors'!$C$35*('Calcs - Power'!$C132+'Calcs - Power'!$D132+'Calcs - Power'!$E132+'Calcs - Power'!$F132))</f>
        <v>3792136.4685434476</v>
      </c>
      <c r="W133" s="359">
        <f>(102*'Emissions Factors'!$D$36*'Calcs - Power'!$G132+'Emissions Factors'!$D$35*('Calcs - Power'!$H132+'Calcs - Power'!$I132+'Calcs - Power'!$J132+'Calcs - Power'!$K132))</f>
        <v>54907.39888637713</v>
      </c>
      <c r="X133" s="366">
        <f>(102*'Emissions Factors'!$D$36*'Calcs - Power'!$B132+'Emissions Factors'!$D$35*('Calcs - Power'!$C132+'Calcs - Power'!$D132+'Calcs - Power'!$E132+'Calcs - Power'!$F132))</f>
        <v>3792136.4685434476</v>
      </c>
      <c r="Y133" s="359">
        <f>(102*'Emissions Factors'!$C$38*'Calcs - Power'!$G132+'Emissions Factors'!$C$37*('Calcs - Power'!$H132+'Calcs - Power'!$I132+'Calcs - Power'!$J132+'Calcs - Power'!$K132))</f>
        <v>30322.95704316374</v>
      </c>
      <c r="Z133" s="366">
        <f>(102*'Emissions Factors'!$C$38*'Calcs - Power'!$B132+'Emissions Factors'!$C$37*('Calcs - Power'!$C132+'Calcs - Power'!$D132+'Calcs - Power'!$E132+'Calcs - Power'!$F132))</f>
        <v>2235798.3552643219</v>
      </c>
      <c r="AA133" s="359">
        <f>(102*'Emissions Factors'!$C$36*'Calcs - Power'!$G132+'Emissions Factors'!$C$35*('Calcs - Power'!$H132+'Calcs - Power'!$I132+'Calcs - Power'!$J132+'Calcs - Power'!$K132))</f>
        <v>54907.39888637713</v>
      </c>
      <c r="AB133" s="366">
        <f>(102*'Emissions Factors'!$C$36*'Calcs - Power'!$B132+'Emissions Factors'!$C$35*('Calcs - Power'!$C132+'Calcs - Power'!$D132+'Calcs - Power'!$E132+'Calcs - Power'!$F132))</f>
        <v>3792136.4685434476</v>
      </c>
      <c r="AI133" s="358">
        <f t="shared" si="22"/>
        <v>121</v>
      </c>
      <c r="AJ133" s="359">
        <f>(('Methane Leakage'!$G$6/'Methane Leakage'!$G$5)*102*'Emissions Factors'!$D$10*'Calcs - Power'!$G132+'Emissions Factors'!$D$11*('Calcs - Power'!$H132+'Calcs - Power'!$I132+'Calcs - Power'!$J132+'Calcs - Power'!$K132))</f>
        <v>4176.777726585814</v>
      </c>
      <c r="AK133" s="366">
        <f>(('Methane Leakage'!$G$6/'Methane Leakage'!$G$5)*102*'Emissions Factors'!$D$10*'Calcs - Power'!$B132+'Emissions Factors'!$D$11*('Calcs - Power'!$C132+'Calcs - Power'!$D132+'Calcs - Power'!$E132+'Calcs - Power'!$F132))</f>
        <v>315017.20398447622</v>
      </c>
      <c r="AL133" s="359">
        <f>(102*'Emissions Factors'!$E$10*'Calcs - Power'!$G132+'Emissions Factors'!$E$11*('Calcs - Power'!H132+'Calcs - Power'!I132+'Calcs - Power'!J132+'Calcs - Power'!K132))</f>
        <v>4893.0503399007284</v>
      </c>
      <c r="AM133" s="366">
        <f>(102*'Emissions Factors'!$E$10*'Calcs - Power'!$B132+'Emissions Factors'!$E$11*('Calcs - Power'!C132+'Calcs - Power'!D132+'Calcs - Power'!E132+'Calcs - Power'!F132))</f>
        <v>339733.3048366023</v>
      </c>
      <c r="AN133" s="359">
        <f>(102*'Emissions Factors'!$D$10*'Calcs - Power'!$G132+'Emissions Factors'!$D$11*('Calcs - Power'!$H132+'Calcs - Power'!$I132+'Calcs - Power'!$J132+'Calcs - Power'!$K132))</f>
        <v>4176.777726585814</v>
      </c>
      <c r="AO133" s="366">
        <f>(102*'Emissions Factors'!$D$10*'Calcs - Power'!$B132+'Emissions Factors'!$D$11*('Calcs - Power'!$C132+'Calcs - Power'!$D132+'Calcs - Power'!$E132+'Calcs - Power'!$F132))</f>
        <v>315017.20398447622</v>
      </c>
      <c r="AP133" s="367">
        <f>(102*'Emissions Factors'!$E$10*'Calcs - Power'!$G132+'Emissions Factors'!$E$11*('Calcs - Power'!H132+'Calcs - Power'!I132+'Calcs - Power'!J132+'Calcs - Power'!K132))</f>
        <v>4893.0503399007284</v>
      </c>
      <c r="AQ133" s="366">
        <f>(102*'Emissions Factors'!$E$10*'Calcs - Power'!$B132+'Emissions Factors'!$E$11*('Calcs - Power'!C132+'Calcs - Power'!D132+'Calcs - Power'!E132+'Calcs - Power'!F132))</f>
        <v>339733.3048366023</v>
      </c>
      <c r="AS133" s="357"/>
      <c r="AT133" s="357"/>
      <c r="AU133" s="357"/>
      <c r="AV133" s="357"/>
      <c r="AX133" s="358">
        <f t="shared" si="23"/>
        <v>121</v>
      </c>
      <c r="AY133" s="359">
        <f>(('Methane Leakage'!$G$6/'Methane Leakage'!$G$5)*102*'Emissions Factors'!$F$10*'Calcs - Power'!$G132+'Emissions Factors'!$F$11*('Calcs - Power'!$H132+'Calcs - Power'!$I132+'Calcs - Power'!$J132+'Calcs - Power'!$K132))</f>
        <v>5714295.5707956953</v>
      </c>
      <c r="AZ133" s="366">
        <f>(('Methane Leakage'!$G$6/'Methane Leakage'!$G$5)*102*'Emissions Factors'!$F$10*'Calcs - Power'!$B132+'Emissions Factors'!$F$11*('Calcs - Power'!$C132+'Calcs - Power'!$D132+'Calcs - Power'!$E132+'Calcs - Power'!$F132))</f>
        <v>420717120.09229618</v>
      </c>
      <c r="BA133" s="359">
        <f>(102*'Emissions Factors'!$G$10*'Calcs - Power'!$G132+'Emissions Factors'!$G$11*('Calcs - Power'!H132+'Calcs - Power'!I132+'Calcs - Power'!J132+'Calcs - Power'!K132))</f>
        <v>5648846.5565583482</v>
      </c>
      <c r="BB133" s="366">
        <f>(102*'Emissions Factors'!$G$10*'Calcs - Power'!$B132+'Emissions Factors'!$G$11*('Calcs - Power'!C132+'Calcs - Power'!D132+'Calcs - Power'!E132+'Calcs - Power'!F132))</f>
        <v>391119515.70112705</v>
      </c>
      <c r="BC133" s="359">
        <f>(102*'Emissions Factors'!$F$10*'Calcs - Power'!$G132+'Emissions Factors'!$F$11*('Calcs - Power'!$H132+'Calcs - Power'!$I132+'Calcs - Power'!$J132+'Calcs - Power'!$K132))</f>
        <v>5714295.5707956953</v>
      </c>
      <c r="BD133" s="366">
        <f>(102*'Emissions Factors'!$F$10*'Calcs - Power'!$B132+'Emissions Factors'!$F$11*('Calcs - Power'!$C132+'Calcs - Power'!$D132+'Calcs - Power'!$E132+'Calcs - Power'!$F132))</f>
        <v>420717120.09229618</v>
      </c>
      <c r="BE133" s="359">
        <f>(102*'Emissions Factors'!$G$10*'Calcs - Power'!$G132+'Emissions Factors'!$G$11*('Calcs - Power'!H132+'Calcs - Power'!I132+'Calcs - Power'!J132+'Calcs - Power'!K132))</f>
        <v>5648846.5565583482</v>
      </c>
      <c r="BF133" s="366">
        <f>(102*'Emissions Factors'!$G$10*'Calcs - Power'!$B132+'Emissions Factors'!$G$11*('Calcs - Power'!C132+'Calcs - Power'!D132+'Calcs - Power'!E132+'Calcs - Power'!F132))</f>
        <v>391119515.70112705</v>
      </c>
    </row>
    <row r="134" spans="1:58" x14ac:dyDescent="0.3">
      <c r="A134" s="351">
        <f t="shared" si="20"/>
        <v>122</v>
      </c>
      <c r="B134" s="352">
        <f t="shared" si="24"/>
        <v>0.99999999999999989</v>
      </c>
      <c r="C134" s="363">
        <f t="shared" si="25"/>
        <v>0.99999999999999978</v>
      </c>
      <c r="D134" s="352">
        <f t="shared" si="26"/>
        <v>1</v>
      </c>
      <c r="E134" s="364">
        <f t="shared" si="27"/>
        <v>1</v>
      </c>
      <c r="F134" s="364">
        <f t="shared" si="28"/>
        <v>1</v>
      </c>
      <c r="G134" s="365">
        <f t="shared" si="29"/>
        <v>1</v>
      </c>
      <c r="P134" s="358">
        <f t="shared" si="21"/>
        <v>122</v>
      </c>
      <c r="Q134" s="359">
        <f>(('Methane Leakage'!$C$6/'Methane Leakage'!$C$5)*102*'Emissions Factors'!$C$38*'Calcs - Power'!$G133+'Emissions Factors'!$C$37*('Calcs - Power'!$H133+'Calcs - Power'!$I133+'Calcs - Power'!$J133+'Calcs - Power'!$K133))</f>
        <v>30487.590847171195</v>
      </c>
      <c r="R134" s="366">
        <f>(('Methane Leakage'!$C$6/'Methane Leakage'!$C$5)*102*'Emissions Factors'!$C$38*'Calcs - Power'!$B133+'Emissions Factors'!$C$37*('Calcs - Power'!$C133+'Calcs - Power'!$D133+'Calcs - Power'!$E133+'Calcs - Power'!$F133))</f>
        <v>2266203.6597594977</v>
      </c>
      <c r="S134" s="359">
        <f>(('Methane Leakage'!$C$6/'Methane Leakage'!$C$5)*102*'Emissions Factors'!$D$38*'Calcs - Power'!$G133+'Emissions Factors'!$D$37*('Calcs - Power'!$H133+'Calcs - Power'!$I133+'Calcs - Power'!$J133+'Calcs - Power'!$K133))</f>
        <v>30487.590847171195</v>
      </c>
      <c r="T134" s="366">
        <f>(('Methane Leakage'!$C$6/'Methane Leakage'!$C$5)*102*'Emissions Factors'!$D$38*'Calcs - Power'!$B133+'Emissions Factors'!$D$37*('Calcs - Power'!$C133+'Calcs - Power'!$D133+'Calcs - Power'!$E133+'Calcs - Power'!$F133))</f>
        <v>2266203.6597594977</v>
      </c>
      <c r="U134" s="361">
        <f>(102*'Emissions Factors'!$C$36*'Calcs - Power'!$G133+'Emissions Factors'!$C$35*('Calcs - Power'!$H133+'Calcs - Power'!$I133+'Calcs - Power'!$J133+'Calcs - Power'!$K133))</f>
        <v>55244.943982348203</v>
      </c>
      <c r="V134" s="366">
        <f>(102*'Emissions Factors'!$C$36*'Calcs - Power'!$B133+'Emissions Factors'!$C$35*('Calcs - Power'!$C133+'Calcs - Power'!$D133+'Calcs - Power'!$E133+'Calcs - Power'!$F133))</f>
        <v>3847212.7024497879</v>
      </c>
      <c r="W134" s="359">
        <f>(102*'Emissions Factors'!$D$36*'Calcs - Power'!$G133+'Emissions Factors'!$D$35*('Calcs - Power'!$H133+'Calcs - Power'!$I133+'Calcs - Power'!$J133+'Calcs - Power'!$K133))</f>
        <v>55244.943982348203</v>
      </c>
      <c r="X134" s="366">
        <f>(102*'Emissions Factors'!$D$36*'Calcs - Power'!$B133+'Emissions Factors'!$D$35*('Calcs - Power'!$C133+'Calcs - Power'!$D133+'Calcs - Power'!$E133+'Calcs - Power'!$F133))</f>
        <v>3847212.7024497879</v>
      </c>
      <c r="Y134" s="359">
        <f>(102*'Emissions Factors'!$C$38*'Calcs - Power'!$G133+'Emissions Factors'!$C$37*('Calcs - Power'!$H133+'Calcs - Power'!$I133+'Calcs - Power'!$J133+'Calcs - Power'!$K133))</f>
        <v>30487.590847171195</v>
      </c>
      <c r="Z134" s="366">
        <f>(102*'Emissions Factors'!$C$38*'Calcs - Power'!$B133+'Emissions Factors'!$C$37*('Calcs - Power'!$C133+'Calcs - Power'!$D133+'Calcs - Power'!$E133+'Calcs - Power'!$F133))</f>
        <v>2266203.6597594977</v>
      </c>
      <c r="AA134" s="359">
        <f>(102*'Emissions Factors'!$C$36*'Calcs - Power'!$G133+'Emissions Factors'!$C$35*('Calcs - Power'!$H133+'Calcs - Power'!$I133+'Calcs - Power'!$J133+'Calcs - Power'!$K133))</f>
        <v>55244.943982348203</v>
      </c>
      <c r="AB134" s="366">
        <f>(102*'Emissions Factors'!$C$36*'Calcs - Power'!$B133+'Emissions Factors'!$C$35*('Calcs - Power'!$C133+'Calcs - Power'!$D133+'Calcs - Power'!$E133+'Calcs - Power'!$F133))</f>
        <v>3847212.7024497879</v>
      </c>
      <c r="AI134" s="358">
        <f t="shared" si="22"/>
        <v>122</v>
      </c>
      <c r="AJ134" s="359">
        <f>(('Methane Leakage'!$G$6/'Methane Leakage'!$G$5)*102*'Emissions Factors'!$D$10*'Calcs - Power'!$G133+'Emissions Factors'!$D$11*('Calcs - Power'!$H133+'Calcs - Power'!$I133+'Calcs - Power'!$J133+'Calcs - Power'!$K133))</f>
        <v>4198.3701560039599</v>
      </c>
      <c r="AK134" s="366">
        <f>(('Methane Leakage'!$G$6/'Methane Leakage'!$G$5)*102*'Emissions Factors'!$D$10*'Calcs - Power'!$B133+'Emissions Factors'!$D$11*('Calcs - Power'!$C133+'Calcs - Power'!$D133+'Calcs - Power'!$E133+'Calcs - Power'!$F133))</f>
        <v>319204.78193704801</v>
      </c>
      <c r="AL134" s="359">
        <f>(102*'Emissions Factors'!$E$10*'Calcs - Power'!$G133+'Emissions Factors'!$E$11*('Calcs - Power'!H133+'Calcs - Power'!I133+'Calcs - Power'!J133+'Calcs - Power'!K133))</f>
        <v>4922.8538470242574</v>
      </c>
      <c r="AM134" s="366">
        <f>(102*'Emissions Factors'!$E$10*'Calcs - Power'!$B133+'Emissions Factors'!$E$11*('Calcs - Power'!C133+'Calcs - Power'!D133+'Calcs - Power'!E133+'Calcs - Power'!F133))</f>
        <v>344641.26244703779</v>
      </c>
      <c r="AN134" s="359">
        <f>(102*'Emissions Factors'!$D$10*'Calcs - Power'!$G133+'Emissions Factors'!$D$11*('Calcs - Power'!$H133+'Calcs - Power'!$I133+'Calcs - Power'!$J133+'Calcs - Power'!$K133))</f>
        <v>4198.3701560039599</v>
      </c>
      <c r="AO134" s="366">
        <f>(102*'Emissions Factors'!$D$10*'Calcs - Power'!$B133+'Emissions Factors'!$D$11*('Calcs - Power'!$C133+'Calcs - Power'!$D133+'Calcs - Power'!$E133+'Calcs - Power'!$F133))</f>
        <v>319204.78193704801</v>
      </c>
      <c r="AP134" s="367">
        <f>(102*'Emissions Factors'!$E$10*'Calcs - Power'!$G133+'Emissions Factors'!$E$11*('Calcs - Power'!H133+'Calcs - Power'!I133+'Calcs - Power'!J133+'Calcs - Power'!K133))</f>
        <v>4922.8538470242574</v>
      </c>
      <c r="AQ134" s="366">
        <f>(102*'Emissions Factors'!$E$10*'Calcs - Power'!$B133+'Emissions Factors'!$E$11*('Calcs - Power'!C133+'Calcs - Power'!D133+'Calcs - Power'!E133+'Calcs - Power'!F133))</f>
        <v>344641.26244703779</v>
      </c>
      <c r="AS134" s="357"/>
      <c r="AT134" s="357"/>
      <c r="AU134" s="357"/>
      <c r="AV134" s="357"/>
      <c r="AX134" s="358">
        <f t="shared" si="23"/>
        <v>122</v>
      </c>
      <c r="AY134" s="359">
        <f>(('Methane Leakage'!$G$6/'Methane Leakage'!$G$5)*102*'Emissions Factors'!$F$10*'Calcs - Power'!$G133+'Emissions Factors'!$F$11*('Calcs - Power'!$H133+'Calcs - Power'!$I133+'Calcs - Power'!$J133+'Calcs - Power'!$K133))</f>
        <v>5745414.94405967</v>
      </c>
      <c r="AZ134" s="366">
        <f>(('Methane Leakage'!$G$6/'Methane Leakage'!$G$5)*102*'Emissions Factors'!$F$10*'Calcs - Power'!$B133+'Emissions Factors'!$F$11*('Calcs - Power'!$C133+'Calcs - Power'!$D133+'Calcs - Power'!$E133+'Calcs - Power'!$F133))</f>
        <v>426446981.12394744</v>
      </c>
      <c r="BA134" s="359">
        <f>(102*'Emissions Factors'!$G$10*'Calcs - Power'!$G133+'Emissions Factors'!$G$11*('Calcs - Power'!H133+'Calcs - Power'!I133+'Calcs - Power'!J133+'Calcs - Power'!K133))</f>
        <v>5683421.2988082049</v>
      </c>
      <c r="BB134" s="366">
        <f>(102*'Emissions Factors'!$G$10*'Calcs - Power'!$B133+'Emissions Factors'!$G$11*('Calcs - Power'!C133+'Calcs - Power'!D133+'Calcs - Power'!E133+'Calcs - Power'!F133))</f>
        <v>396785656.02837211</v>
      </c>
      <c r="BC134" s="359">
        <f>(102*'Emissions Factors'!$F$10*'Calcs - Power'!$G133+'Emissions Factors'!$F$11*('Calcs - Power'!$H133+'Calcs - Power'!$I133+'Calcs - Power'!$J133+'Calcs - Power'!$K133))</f>
        <v>5745414.94405967</v>
      </c>
      <c r="BD134" s="366">
        <f>(102*'Emissions Factors'!$F$10*'Calcs - Power'!$B133+'Emissions Factors'!$F$11*('Calcs - Power'!$C133+'Calcs - Power'!$D133+'Calcs - Power'!$E133+'Calcs - Power'!$F133))</f>
        <v>426446981.12394744</v>
      </c>
      <c r="BE134" s="359">
        <f>(102*'Emissions Factors'!$G$10*'Calcs - Power'!$G133+'Emissions Factors'!$G$11*('Calcs - Power'!H133+'Calcs - Power'!I133+'Calcs - Power'!J133+'Calcs - Power'!K133))</f>
        <v>5683421.2988082049</v>
      </c>
      <c r="BF134" s="366">
        <f>(102*'Emissions Factors'!$G$10*'Calcs - Power'!$B133+'Emissions Factors'!$G$11*('Calcs - Power'!C133+'Calcs - Power'!D133+'Calcs - Power'!E133+'Calcs - Power'!F133))</f>
        <v>396785656.02837211</v>
      </c>
    </row>
    <row r="135" spans="1:58" x14ac:dyDescent="0.3">
      <c r="A135" s="351">
        <f t="shared" si="20"/>
        <v>123</v>
      </c>
      <c r="B135" s="352">
        <f t="shared" si="24"/>
        <v>1</v>
      </c>
      <c r="C135" s="363">
        <f t="shared" si="25"/>
        <v>0.99999999999999978</v>
      </c>
      <c r="D135" s="352">
        <f t="shared" si="26"/>
        <v>1</v>
      </c>
      <c r="E135" s="364">
        <f t="shared" si="27"/>
        <v>1</v>
      </c>
      <c r="F135" s="364">
        <f t="shared" si="28"/>
        <v>1</v>
      </c>
      <c r="G135" s="365">
        <f t="shared" si="29"/>
        <v>1</v>
      </c>
      <c r="P135" s="358">
        <f t="shared" si="21"/>
        <v>123</v>
      </c>
      <c r="Q135" s="359">
        <f>(('Methane Leakage'!$C$6/'Methane Leakage'!$C$5)*102*'Emissions Factors'!$C$38*'Calcs - Power'!$G134+'Emissions Factors'!$C$37*('Calcs - Power'!$H134+'Calcs - Power'!$I134+'Calcs - Power'!$J134+'Calcs - Power'!$K134))</f>
        <v>30651.859440240714</v>
      </c>
      <c r="R135" s="366">
        <f>(('Methane Leakage'!$C$6/'Methane Leakage'!$C$5)*102*'Emissions Factors'!$C$38*'Calcs - Power'!$B134+'Emissions Factors'!$C$37*('Calcs - Power'!$C134+'Calcs - Power'!$D134+'Calcs - Power'!$E134+'Calcs - Power'!$F134))</f>
        <v>2296773.4152222858</v>
      </c>
      <c r="S135" s="359">
        <f>(('Methane Leakage'!$C$6/'Methane Leakage'!$C$5)*102*'Emissions Factors'!$D$38*'Calcs - Power'!$G134+'Emissions Factors'!$D$37*('Calcs - Power'!$H134+'Calcs - Power'!$I134+'Calcs - Power'!$J134+'Calcs - Power'!$K134))</f>
        <v>30651.859440240714</v>
      </c>
      <c r="T135" s="366">
        <f>(('Methane Leakage'!$C$6/'Methane Leakage'!$C$5)*102*'Emissions Factors'!$D$38*'Calcs - Power'!$B134+'Emissions Factors'!$D$37*('Calcs - Power'!$C134+'Calcs - Power'!$D134+'Calcs - Power'!$E134+'Calcs - Power'!$F134))</f>
        <v>2296773.4152222858</v>
      </c>
      <c r="U135" s="361">
        <f>(102*'Emissions Factors'!$C$36*'Calcs - Power'!$G134+'Emissions Factors'!$C$35*('Calcs - Power'!$H134+'Calcs - Power'!$I134+'Calcs - Power'!$J134+'Calcs - Power'!$K134))</f>
        <v>55581.742181204208</v>
      </c>
      <c r="V135" s="366">
        <f>(102*'Emissions Factors'!$C$36*'Calcs - Power'!$B134+'Emissions Factors'!$C$35*('Calcs - Power'!$C134+'Calcs - Power'!$D134+'Calcs - Power'!$E134+'Calcs - Power'!$F134))</f>
        <v>3902626.1075435202</v>
      </c>
      <c r="W135" s="359">
        <f>(102*'Emissions Factors'!$D$36*'Calcs - Power'!$G134+'Emissions Factors'!$D$35*('Calcs - Power'!$H134+'Calcs - Power'!$I134+'Calcs - Power'!$J134+'Calcs - Power'!$K134))</f>
        <v>55581.742181204208</v>
      </c>
      <c r="X135" s="366">
        <f>(102*'Emissions Factors'!$D$36*'Calcs - Power'!$B134+'Emissions Factors'!$D$35*('Calcs - Power'!$C134+'Calcs - Power'!$D134+'Calcs - Power'!$E134+'Calcs - Power'!$F134))</f>
        <v>3902626.1075435202</v>
      </c>
      <c r="Y135" s="359">
        <f>(102*'Emissions Factors'!$C$38*'Calcs - Power'!$G134+'Emissions Factors'!$C$37*('Calcs - Power'!$H134+'Calcs - Power'!$I134+'Calcs - Power'!$J134+'Calcs - Power'!$K134))</f>
        <v>30651.859440240714</v>
      </c>
      <c r="Z135" s="366">
        <f>(102*'Emissions Factors'!$C$38*'Calcs - Power'!$B134+'Emissions Factors'!$C$37*('Calcs - Power'!$C134+'Calcs - Power'!$D134+'Calcs - Power'!$E134+'Calcs - Power'!$F134))</f>
        <v>2296773.4152222858</v>
      </c>
      <c r="AA135" s="359">
        <f>(102*'Emissions Factors'!$C$36*'Calcs - Power'!$G134+'Emissions Factors'!$C$35*('Calcs - Power'!$H134+'Calcs - Power'!$I134+'Calcs - Power'!$J134+'Calcs - Power'!$K134))</f>
        <v>55581.742181204208</v>
      </c>
      <c r="AB135" s="366">
        <f>(102*'Emissions Factors'!$C$36*'Calcs - Power'!$B134+'Emissions Factors'!$C$35*('Calcs - Power'!$C134+'Calcs - Power'!$D134+'Calcs - Power'!$E134+'Calcs - Power'!$F134))</f>
        <v>3902626.1075435202</v>
      </c>
      <c r="AI135" s="358">
        <f t="shared" si="22"/>
        <v>123</v>
      </c>
      <c r="AJ135" s="359">
        <f>(('Methane Leakage'!$G$6/'Methane Leakage'!$G$5)*102*'Emissions Factors'!$D$10*'Calcs - Power'!$G134+'Emissions Factors'!$D$11*('Calcs - Power'!$H134+'Calcs - Power'!$I134+'Calcs - Power'!$J134+'Calcs - Power'!$K134))</f>
        <v>4219.9146345368845</v>
      </c>
      <c r="AK135" s="366">
        <f>(('Methane Leakage'!$G$6/'Methane Leakage'!$G$5)*102*'Emissions Factors'!$D$10*'Calcs - Power'!$B134+'Emissions Factors'!$D$11*('Calcs - Power'!$C134+'Calcs - Power'!$D134+'Calcs - Power'!$E134+'Calcs - Power'!$F134))</f>
        <v>323413.9283129386</v>
      </c>
      <c r="AL135" s="359">
        <f>(102*'Emissions Factors'!$E$10*'Calcs - Power'!$G134+'Emissions Factors'!$E$11*('Calcs - Power'!H134+'Calcs - Power'!I134+'Calcs - Power'!J134+'Calcs - Power'!K134))</f>
        <v>4952.5913952565033</v>
      </c>
      <c r="AM135" s="366">
        <f>(102*'Emissions Factors'!$E$10*'Calcs - Power'!$B134+'Emissions Factors'!$E$11*('Calcs - Power'!C134+'Calcs - Power'!D134+'Calcs - Power'!E134+'Calcs - Power'!F134))</f>
        <v>349578.99054445018</v>
      </c>
      <c r="AN135" s="359">
        <f>(102*'Emissions Factors'!$D$10*'Calcs - Power'!$G134+'Emissions Factors'!$D$11*('Calcs - Power'!$H134+'Calcs - Power'!$I134+'Calcs - Power'!$J134+'Calcs - Power'!$K134))</f>
        <v>4219.9146345368845</v>
      </c>
      <c r="AO135" s="366">
        <f>(102*'Emissions Factors'!$D$10*'Calcs - Power'!$B134+'Emissions Factors'!$D$11*('Calcs - Power'!$C134+'Calcs - Power'!$D134+'Calcs - Power'!$E134+'Calcs - Power'!$F134))</f>
        <v>323413.9283129386</v>
      </c>
      <c r="AP135" s="367">
        <f>(102*'Emissions Factors'!$E$10*'Calcs - Power'!$G134+'Emissions Factors'!$E$11*('Calcs - Power'!H134+'Calcs - Power'!I134+'Calcs - Power'!J134+'Calcs - Power'!K134))</f>
        <v>4952.5913952565033</v>
      </c>
      <c r="AQ135" s="366">
        <f>(102*'Emissions Factors'!$E$10*'Calcs - Power'!$B134+'Emissions Factors'!$E$11*('Calcs - Power'!C134+'Calcs - Power'!D134+'Calcs - Power'!E134+'Calcs - Power'!F134))</f>
        <v>349578.99054445018</v>
      </c>
      <c r="AS135" s="357"/>
      <c r="AT135" s="357"/>
      <c r="AU135" s="357"/>
      <c r="AV135" s="357"/>
      <c r="AX135" s="358">
        <f t="shared" si="23"/>
        <v>123</v>
      </c>
      <c r="AY135" s="359">
        <f>(('Methane Leakage'!$G$6/'Methane Leakage'!$G$5)*102*'Emissions Factors'!$F$10*'Calcs - Power'!$G134+'Emissions Factors'!$F$11*('Calcs - Power'!$H134+'Calcs - Power'!$I134+'Calcs - Power'!$J134+'Calcs - Power'!$K134))</f>
        <v>5776465.2890265267</v>
      </c>
      <c r="AZ135" s="366">
        <f>(('Methane Leakage'!$G$6/'Methane Leakage'!$G$5)*102*'Emissions Factors'!$F$10*'Calcs - Power'!$B134+'Emissions Factors'!$F$11*('Calcs - Power'!$C134+'Calcs - Power'!$D134+'Calcs - Power'!$E134+'Calcs - Power'!$F134))</f>
        <v>432207926.97109628</v>
      </c>
      <c r="BA135" s="359">
        <f>(102*'Emissions Factors'!$G$10*'Calcs - Power'!$G134+'Emissions Factors'!$G$11*('Calcs - Power'!H134+'Calcs - Power'!I134+'Calcs - Power'!J134+'Calcs - Power'!K134))</f>
        <v>5717919.5299786255</v>
      </c>
      <c r="BB135" s="366">
        <f>(102*'Emissions Factors'!$G$10*'Calcs - Power'!$B134+'Emissions Factors'!$G$11*('Calcs - Power'!C134+'Calcs - Power'!D134+'Calcs - Power'!E134+'Calcs - Power'!F134))</f>
        <v>402486332.7951616</v>
      </c>
      <c r="BC135" s="359">
        <f>(102*'Emissions Factors'!$F$10*'Calcs - Power'!$G134+'Emissions Factors'!$F$11*('Calcs - Power'!$H134+'Calcs - Power'!$I134+'Calcs - Power'!$J134+'Calcs - Power'!$K134))</f>
        <v>5776465.2890265267</v>
      </c>
      <c r="BD135" s="366">
        <f>(102*'Emissions Factors'!$F$10*'Calcs - Power'!$B134+'Emissions Factors'!$F$11*('Calcs - Power'!$C134+'Calcs - Power'!$D134+'Calcs - Power'!$E134+'Calcs - Power'!$F134))</f>
        <v>432207926.97109628</v>
      </c>
      <c r="BE135" s="359">
        <f>(102*'Emissions Factors'!$G$10*'Calcs - Power'!$G134+'Emissions Factors'!$G$11*('Calcs - Power'!H134+'Calcs - Power'!I134+'Calcs - Power'!J134+'Calcs - Power'!K134))</f>
        <v>5717919.5299786255</v>
      </c>
      <c r="BF135" s="366">
        <f>(102*'Emissions Factors'!$G$10*'Calcs - Power'!$B134+'Emissions Factors'!$G$11*('Calcs - Power'!C134+'Calcs - Power'!D134+'Calcs - Power'!E134+'Calcs - Power'!F134))</f>
        <v>402486332.7951616</v>
      </c>
    </row>
    <row r="136" spans="1:58" x14ac:dyDescent="0.3">
      <c r="A136" s="351">
        <f t="shared" si="20"/>
        <v>124</v>
      </c>
      <c r="B136" s="352">
        <f t="shared" si="24"/>
        <v>0.99999999999999978</v>
      </c>
      <c r="C136" s="363">
        <f t="shared" si="25"/>
        <v>0.99999999999999978</v>
      </c>
      <c r="D136" s="352">
        <f t="shared" si="26"/>
        <v>1</v>
      </c>
      <c r="E136" s="364">
        <f t="shared" si="27"/>
        <v>1</v>
      </c>
      <c r="F136" s="364">
        <f t="shared" si="28"/>
        <v>1</v>
      </c>
      <c r="G136" s="365">
        <f t="shared" si="29"/>
        <v>1</v>
      </c>
      <c r="P136" s="358">
        <f t="shared" si="21"/>
        <v>124</v>
      </c>
      <c r="Q136" s="359">
        <f>(('Methane Leakage'!$C$6/'Methane Leakage'!$C$5)*102*'Emissions Factors'!$C$38*'Calcs - Power'!$G135+'Emissions Factors'!$C$37*('Calcs - Power'!$H135+'Calcs - Power'!$I135+'Calcs - Power'!$J135+'Calcs - Power'!$K135))</f>
        <v>30815.765566924343</v>
      </c>
      <c r="R136" s="366">
        <f>(('Methane Leakage'!$C$6/'Methane Leakage'!$C$5)*102*'Emissions Factors'!$C$38*'Calcs - Power'!$B135+'Emissions Factors'!$C$37*('Calcs - Power'!$C135+'Calcs - Power'!$D135+'Calcs - Power'!$E135+'Calcs - Power'!$F135))</f>
        <v>2327507.2578184237</v>
      </c>
      <c r="S136" s="359">
        <f>(('Methane Leakage'!$C$6/'Methane Leakage'!$C$5)*102*'Emissions Factors'!$D$38*'Calcs - Power'!$G135+'Emissions Factors'!$D$37*('Calcs - Power'!$H135+'Calcs - Power'!$I135+'Calcs - Power'!$J135+'Calcs - Power'!$K135))</f>
        <v>30815.765566924343</v>
      </c>
      <c r="T136" s="366">
        <f>(('Methane Leakage'!$C$6/'Methane Leakage'!$C$5)*102*'Emissions Factors'!$D$38*'Calcs - Power'!$B135+'Emissions Factors'!$D$37*('Calcs - Power'!$C135+'Calcs - Power'!$D135+'Calcs - Power'!$E135+'Calcs - Power'!$F135))</f>
        <v>2327507.2578184237</v>
      </c>
      <c r="U136" s="361">
        <f>(102*'Emissions Factors'!$C$36*'Calcs - Power'!$G135+'Emissions Factors'!$C$35*('Calcs - Power'!$H135+'Calcs - Power'!$I135+'Calcs - Power'!$J135+'Calcs - Power'!$K135))</f>
        <v>55917.798955271406</v>
      </c>
      <c r="V136" s="366">
        <f>(102*'Emissions Factors'!$C$36*'Calcs - Power'!$B135+'Emissions Factors'!$C$35*('Calcs - Power'!$C135+'Calcs - Power'!$D135+'Calcs - Power'!$E135+'Calcs - Power'!$F135))</f>
        <v>3958375.939671638</v>
      </c>
      <c r="W136" s="359">
        <f>(102*'Emissions Factors'!$D$36*'Calcs - Power'!$G135+'Emissions Factors'!$D$35*('Calcs - Power'!$H135+'Calcs - Power'!$I135+'Calcs - Power'!$J135+'Calcs - Power'!$K135))</f>
        <v>55917.798955271406</v>
      </c>
      <c r="X136" s="366">
        <f>(102*'Emissions Factors'!$D$36*'Calcs - Power'!$B135+'Emissions Factors'!$D$35*('Calcs - Power'!$C135+'Calcs - Power'!$D135+'Calcs - Power'!$E135+'Calcs - Power'!$F135))</f>
        <v>3958375.939671638</v>
      </c>
      <c r="Y136" s="359">
        <f>(102*'Emissions Factors'!$C$38*'Calcs - Power'!$G135+'Emissions Factors'!$C$37*('Calcs - Power'!$H135+'Calcs - Power'!$I135+'Calcs - Power'!$J135+'Calcs - Power'!$K135))</f>
        <v>30815.765566924343</v>
      </c>
      <c r="Z136" s="366">
        <f>(102*'Emissions Factors'!$C$38*'Calcs - Power'!$B135+'Emissions Factors'!$C$37*('Calcs - Power'!$C135+'Calcs - Power'!$D135+'Calcs - Power'!$E135+'Calcs - Power'!$F135))</f>
        <v>2327507.2578184237</v>
      </c>
      <c r="AA136" s="359">
        <f>(102*'Emissions Factors'!$C$36*'Calcs - Power'!$G135+'Emissions Factors'!$C$35*('Calcs - Power'!$H135+'Calcs - Power'!$I135+'Calcs - Power'!$J135+'Calcs - Power'!$K135))</f>
        <v>55917.798955271406</v>
      </c>
      <c r="AB136" s="366">
        <f>(102*'Emissions Factors'!$C$36*'Calcs - Power'!$B135+'Emissions Factors'!$C$35*('Calcs - Power'!$C135+'Calcs - Power'!$D135+'Calcs - Power'!$E135+'Calcs - Power'!$F135))</f>
        <v>3958375.939671638</v>
      </c>
      <c r="AI136" s="358">
        <f t="shared" si="22"/>
        <v>124</v>
      </c>
      <c r="AJ136" s="359">
        <f>(('Methane Leakage'!$G$6/'Methane Leakage'!$G$5)*102*'Emissions Factors'!$D$10*'Calcs - Power'!$G135+'Emissions Factors'!$D$11*('Calcs - Power'!$H135+'Calcs - Power'!$I135+'Calcs - Power'!$J135+'Calcs - Power'!$K135))</f>
        <v>4241.41152640171</v>
      </c>
      <c r="AK136" s="366">
        <f>(('Methane Leakage'!$G$6/'Methane Leakage'!$G$5)*102*'Emissions Factors'!$D$10*'Calcs - Power'!$B135+'Emissions Factors'!$D$11*('Calcs - Power'!$C135+'Calcs - Power'!$D135+'Calcs - Power'!$E135+'Calcs - Power'!$F135))</f>
        <v>327644.59534397803</v>
      </c>
      <c r="AL136" s="359">
        <f>(102*'Emissions Factors'!$E$10*'Calcs - Power'!$G135+'Emissions Factors'!$E$11*('Calcs - Power'!H135+'Calcs - Power'!I135+'Calcs - Power'!J135+'Calcs - Power'!K135))</f>
        <v>4982.2634687349755</v>
      </c>
      <c r="AM136" s="366">
        <f>(102*'Emissions Factors'!$E$10*'Calcs - Power'!$B135+'Emissions Factors'!$E$11*('Calcs - Power'!C135+'Calcs - Power'!D135+'Calcs - Power'!E135+'Calcs - Power'!F135))</f>
        <v>354546.42341272527</v>
      </c>
      <c r="AN136" s="359">
        <f>(102*'Emissions Factors'!$D$10*'Calcs - Power'!$G135+'Emissions Factors'!$D$11*('Calcs - Power'!$H135+'Calcs - Power'!$I135+'Calcs - Power'!$J135+'Calcs - Power'!$K135))</f>
        <v>4241.41152640171</v>
      </c>
      <c r="AO136" s="366">
        <f>(102*'Emissions Factors'!$D$10*'Calcs - Power'!$B135+'Emissions Factors'!$D$11*('Calcs - Power'!$C135+'Calcs - Power'!$D135+'Calcs - Power'!$E135+'Calcs - Power'!$F135))</f>
        <v>327644.59534397803</v>
      </c>
      <c r="AP136" s="367">
        <f>(102*'Emissions Factors'!$E$10*'Calcs - Power'!$G135+'Emissions Factors'!$E$11*('Calcs - Power'!H135+'Calcs - Power'!I135+'Calcs - Power'!J135+'Calcs - Power'!K135))</f>
        <v>4982.2634687349755</v>
      </c>
      <c r="AQ136" s="366">
        <f>(102*'Emissions Factors'!$E$10*'Calcs - Power'!$B135+'Emissions Factors'!$E$11*('Calcs - Power'!C135+'Calcs - Power'!D135+'Calcs - Power'!E135+'Calcs - Power'!F135))</f>
        <v>354546.42341272527</v>
      </c>
      <c r="AS136" s="357"/>
      <c r="AT136" s="357"/>
      <c r="AU136" s="357"/>
      <c r="AV136" s="357"/>
      <c r="AX136" s="358">
        <f t="shared" si="23"/>
        <v>124</v>
      </c>
      <c r="AY136" s="359">
        <f>(('Methane Leakage'!$G$6/'Methane Leakage'!$G$5)*102*'Emissions Factors'!$F$10*'Calcs - Power'!$G135+'Emissions Factors'!$F$11*('Calcs - Power'!$H135+'Calcs - Power'!$I135+'Calcs - Power'!$J135+'Calcs - Power'!$K135))</f>
        <v>5807447.1241055075</v>
      </c>
      <c r="AZ136" s="366">
        <f>(('Methane Leakage'!$G$6/'Methane Leakage'!$G$5)*102*'Emissions Factors'!$F$10*'Calcs - Power'!$B135+'Emissions Factors'!$F$11*('Calcs - Power'!$C135+'Calcs - Power'!$D135+'Calcs - Power'!$E135+'Calcs - Power'!$F135))</f>
        <v>437999888.86547923</v>
      </c>
      <c r="BA136" s="359">
        <f>(102*'Emissions Factors'!$G$10*'Calcs - Power'!$G135+'Emissions Factors'!$G$11*('Calcs - Power'!H135+'Calcs - Power'!I135+'Calcs - Power'!J135+'Calcs - Power'!K135))</f>
        <v>5752341.8111259062</v>
      </c>
      <c r="BB136" s="366">
        <f>(102*'Emissions Factors'!$G$10*'Calcs - Power'!$B135+'Emissions Factors'!$G$11*('Calcs - Power'!C135+'Calcs - Power'!D135+'Calcs - Power'!E135+'Calcs - Power'!F135))</f>
        <v>408221469.77176172</v>
      </c>
      <c r="BC136" s="359">
        <f>(102*'Emissions Factors'!$F$10*'Calcs - Power'!$G135+'Emissions Factors'!$F$11*('Calcs - Power'!$H135+'Calcs - Power'!$I135+'Calcs - Power'!$J135+'Calcs - Power'!$K135))</f>
        <v>5807447.1241055075</v>
      </c>
      <c r="BD136" s="366">
        <f>(102*'Emissions Factors'!$F$10*'Calcs - Power'!$B135+'Emissions Factors'!$F$11*('Calcs - Power'!$C135+'Calcs - Power'!$D135+'Calcs - Power'!$E135+'Calcs - Power'!$F135))</f>
        <v>437999888.86547923</v>
      </c>
      <c r="BE136" s="359">
        <f>(102*'Emissions Factors'!$G$10*'Calcs - Power'!$G135+'Emissions Factors'!$G$11*('Calcs - Power'!H135+'Calcs - Power'!I135+'Calcs - Power'!J135+'Calcs - Power'!K135))</f>
        <v>5752341.8111259062</v>
      </c>
      <c r="BF136" s="366">
        <f>(102*'Emissions Factors'!$G$10*'Calcs - Power'!$B135+'Emissions Factors'!$G$11*('Calcs - Power'!C135+'Calcs - Power'!D135+'Calcs - Power'!E135+'Calcs - Power'!F135))</f>
        <v>408221469.77176172</v>
      </c>
    </row>
    <row r="137" spans="1:58" x14ac:dyDescent="0.3">
      <c r="A137" s="351">
        <f t="shared" si="20"/>
        <v>125</v>
      </c>
      <c r="B137" s="352">
        <f t="shared" si="24"/>
        <v>0.99999999999999978</v>
      </c>
      <c r="C137" s="363">
        <f t="shared" si="25"/>
        <v>1</v>
      </c>
      <c r="D137" s="352">
        <f t="shared" si="26"/>
        <v>1</v>
      </c>
      <c r="E137" s="364">
        <f t="shared" si="27"/>
        <v>1</v>
      </c>
      <c r="F137" s="364">
        <f t="shared" si="28"/>
        <v>1</v>
      </c>
      <c r="G137" s="365">
        <f t="shared" si="29"/>
        <v>1</v>
      </c>
      <c r="P137" s="358">
        <f t="shared" si="21"/>
        <v>125</v>
      </c>
      <c r="Q137" s="359">
        <f>(('Methane Leakage'!$C$6/'Methane Leakage'!$C$5)*102*'Emissions Factors'!$C$38*'Calcs - Power'!$G136+'Emissions Factors'!$C$37*('Calcs - Power'!$H136+'Calcs - Power'!$I136+'Calcs - Power'!$J136+'Calcs - Power'!$K136))</f>
        <v>30979.311920199209</v>
      </c>
      <c r="R137" s="366">
        <f>(('Methane Leakage'!$C$6/'Methane Leakage'!$C$5)*102*'Emissions Factors'!$C$38*'Calcs - Power'!$B136+'Emissions Factors'!$C$37*('Calcs - Power'!$C136+'Calcs - Power'!$D136+'Calcs - Power'!$E136+'Calcs - Power'!$F136))</f>
        <v>2358404.8264322118</v>
      </c>
      <c r="S137" s="359">
        <f>(('Methane Leakage'!$C$6/'Methane Leakage'!$C$5)*102*'Emissions Factors'!$D$38*'Calcs - Power'!$G136+'Emissions Factors'!$D$37*('Calcs - Power'!$H136+'Calcs - Power'!$I136+'Calcs - Power'!$J136+'Calcs - Power'!$K136))</f>
        <v>30979.311920199209</v>
      </c>
      <c r="T137" s="366">
        <f>(('Methane Leakage'!$C$6/'Methane Leakage'!$C$5)*102*'Emissions Factors'!$D$38*'Calcs - Power'!$B136+'Emissions Factors'!$D$37*('Calcs - Power'!$C136+'Calcs - Power'!$D136+'Calcs - Power'!$E136+'Calcs - Power'!$F136))</f>
        <v>2358404.8264322118</v>
      </c>
      <c r="U137" s="361">
        <f>(102*'Emissions Factors'!$C$36*'Calcs - Power'!$G136+'Emissions Factors'!$C$35*('Calcs - Power'!$H136+'Calcs - Power'!$I136+'Calcs - Power'!$J136+'Calcs - Power'!$K136))</f>
        <v>56253.119683532532</v>
      </c>
      <c r="V137" s="366">
        <f>(102*'Emissions Factors'!$C$36*'Calcs - Power'!$B136+'Emissions Factors'!$C$35*('Calcs - Power'!$C136+'Calcs - Power'!$D136+'Calcs - Power'!$E136+'Calcs - Power'!$F136))</f>
        <v>4014461.4601064557</v>
      </c>
      <c r="W137" s="359">
        <f>(102*'Emissions Factors'!$D$36*'Calcs - Power'!$G136+'Emissions Factors'!$D$35*('Calcs - Power'!$H136+'Calcs - Power'!$I136+'Calcs - Power'!$J136+'Calcs - Power'!$K136))</f>
        <v>56253.119683532532</v>
      </c>
      <c r="X137" s="366">
        <f>(102*'Emissions Factors'!$D$36*'Calcs - Power'!$B136+'Emissions Factors'!$D$35*('Calcs - Power'!$C136+'Calcs - Power'!$D136+'Calcs - Power'!$E136+'Calcs - Power'!$F136))</f>
        <v>4014461.4601064557</v>
      </c>
      <c r="Y137" s="359">
        <f>(102*'Emissions Factors'!$C$38*'Calcs - Power'!$G136+'Emissions Factors'!$C$37*('Calcs - Power'!$H136+'Calcs - Power'!$I136+'Calcs - Power'!$J136+'Calcs - Power'!$K136))</f>
        <v>30979.311920199209</v>
      </c>
      <c r="Z137" s="366">
        <f>(102*'Emissions Factors'!$C$38*'Calcs - Power'!$B136+'Emissions Factors'!$C$37*('Calcs - Power'!$C136+'Calcs - Power'!$D136+'Calcs - Power'!$E136+'Calcs - Power'!$F136))</f>
        <v>2358404.8264322118</v>
      </c>
      <c r="AA137" s="359">
        <f>(102*'Emissions Factors'!$C$36*'Calcs - Power'!$G136+'Emissions Factors'!$C$35*('Calcs - Power'!$H136+'Calcs - Power'!$I136+'Calcs - Power'!$J136+'Calcs - Power'!$K136))</f>
        <v>56253.119683532532</v>
      </c>
      <c r="AB137" s="366">
        <f>(102*'Emissions Factors'!$C$36*'Calcs - Power'!$B136+'Emissions Factors'!$C$35*('Calcs - Power'!$C136+'Calcs - Power'!$D136+'Calcs - Power'!$E136+'Calcs - Power'!$F136))</f>
        <v>4014461.4601064557</v>
      </c>
      <c r="AI137" s="358">
        <f t="shared" si="22"/>
        <v>125</v>
      </c>
      <c r="AJ137" s="359">
        <f>(('Methane Leakage'!$G$6/'Methane Leakage'!$G$5)*102*'Emissions Factors'!$D$10*'Calcs - Power'!$G136+'Emissions Factors'!$D$11*('Calcs - Power'!$H136+'Calcs - Power'!$I136+'Calcs - Power'!$J136+'Calcs - Power'!$K136))</f>
        <v>4262.8611887102079</v>
      </c>
      <c r="AK137" s="366">
        <f>(('Methane Leakage'!$G$6/'Methane Leakage'!$G$5)*102*'Emissions Factors'!$D$10*'Calcs - Power'!$B136+'Emissions Factors'!$D$11*('Calcs - Power'!$C136+'Calcs - Power'!$D136+'Calcs - Power'!$E136+'Calcs - Power'!$F136))</f>
        <v>331896.73562263185</v>
      </c>
      <c r="AL137" s="359">
        <f>(102*'Emissions Factors'!$E$10*'Calcs - Power'!$G136+'Emissions Factors'!$E$11*('Calcs - Power'!H136+'Calcs - Power'!I136+'Calcs - Power'!J136+'Calcs - Power'!K136))</f>
        <v>5011.8705432785882</v>
      </c>
      <c r="AM137" s="366">
        <f>(102*'Emissions Factors'!$E$10*'Calcs - Power'!$B136+'Emissions Factors'!$E$11*('Calcs - Power'!C136+'Calcs - Power'!D136+'Calcs - Power'!E136+'Calcs - Power'!F136))</f>
        <v>359543.49581569713</v>
      </c>
      <c r="AN137" s="359">
        <f>(102*'Emissions Factors'!$D$10*'Calcs - Power'!$G136+'Emissions Factors'!$D$11*('Calcs - Power'!$H136+'Calcs - Power'!$I136+'Calcs - Power'!$J136+'Calcs - Power'!$K136))</f>
        <v>4262.8611887102079</v>
      </c>
      <c r="AO137" s="366">
        <f>(102*'Emissions Factors'!$D$10*'Calcs - Power'!$B136+'Emissions Factors'!$D$11*('Calcs - Power'!$C136+'Calcs - Power'!$D136+'Calcs - Power'!$E136+'Calcs - Power'!$F136))</f>
        <v>331896.73562263185</v>
      </c>
      <c r="AP137" s="367">
        <f>(102*'Emissions Factors'!$E$10*'Calcs - Power'!$G136+'Emissions Factors'!$E$11*('Calcs - Power'!H136+'Calcs - Power'!I136+'Calcs - Power'!J136+'Calcs - Power'!K136))</f>
        <v>5011.8705432785882</v>
      </c>
      <c r="AQ137" s="366">
        <f>(102*'Emissions Factors'!$E$10*'Calcs - Power'!$B136+'Emissions Factors'!$E$11*('Calcs - Power'!C136+'Calcs - Power'!D136+'Calcs - Power'!E136+'Calcs - Power'!F136))</f>
        <v>359543.49581569713</v>
      </c>
      <c r="AS137" s="357"/>
      <c r="AT137" s="357"/>
      <c r="AU137" s="357"/>
      <c r="AV137" s="357"/>
      <c r="AX137" s="358">
        <f t="shared" si="23"/>
        <v>125</v>
      </c>
      <c r="AY137" s="359">
        <f>(('Methane Leakage'!$G$6/'Methane Leakage'!$G$5)*102*'Emissions Factors'!$F$10*'Calcs - Power'!$G136+'Emissions Factors'!$F$11*('Calcs - Power'!$H136+'Calcs - Power'!$I136+'Calcs - Power'!$J136+'Calcs - Power'!$K136))</f>
        <v>5838360.9579867767</v>
      </c>
      <c r="AZ137" s="366">
        <f>(('Methane Leakage'!$G$6/'Methane Leakage'!$G$5)*102*'Emissions Factors'!$F$10*'Calcs - Power'!$B136+'Emissions Factors'!$F$11*('Calcs - Power'!$C136+'Calcs - Power'!$D136+'Calcs - Power'!$E136+'Calcs - Power'!$F136))</f>
        <v>443822798.55234444</v>
      </c>
      <c r="BA137" s="359">
        <f>(102*'Emissions Factors'!$G$10*'Calcs - Power'!$G136+'Emissions Factors'!$G$11*('Calcs - Power'!H136+'Calcs - Power'!I136+'Calcs - Power'!J136+'Calcs - Power'!K136))</f>
        <v>5786688.6937030256</v>
      </c>
      <c r="BB137" s="366">
        <f>(102*'Emissions Factors'!$G$10*'Calcs - Power'!$B136+'Emissions Factors'!$G$11*('Calcs - Power'!C136+'Calcs - Power'!D136+'Calcs - Power'!E136+'Calcs - Power'!F136))</f>
        <v>413990991.28465903</v>
      </c>
      <c r="BC137" s="359">
        <f>(102*'Emissions Factors'!$F$10*'Calcs - Power'!$G136+'Emissions Factors'!$F$11*('Calcs - Power'!$H136+'Calcs - Power'!$I136+'Calcs - Power'!$J136+'Calcs - Power'!$K136))</f>
        <v>5838360.9579867767</v>
      </c>
      <c r="BD137" s="366">
        <f>(102*'Emissions Factors'!$F$10*'Calcs - Power'!$B136+'Emissions Factors'!$F$11*('Calcs - Power'!$C136+'Calcs - Power'!$D136+'Calcs - Power'!$E136+'Calcs - Power'!$F136))</f>
        <v>443822798.55234444</v>
      </c>
      <c r="BE137" s="359">
        <f>(102*'Emissions Factors'!$G$10*'Calcs - Power'!$G136+'Emissions Factors'!$G$11*('Calcs - Power'!H136+'Calcs - Power'!I136+'Calcs - Power'!J136+'Calcs - Power'!K136))</f>
        <v>5786688.6937030256</v>
      </c>
      <c r="BF137" s="366">
        <f>(102*'Emissions Factors'!$G$10*'Calcs - Power'!$B136+'Emissions Factors'!$G$11*('Calcs - Power'!C136+'Calcs - Power'!D136+'Calcs - Power'!E136+'Calcs - Power'!F136))</f>
        <v>413990991.28465903</v>
      </c>
    </row>
    <row r="138" spans="1:58" x14ac:dyDescent="0.3">
      <c r="A138" s="351">
        <f t="shared" si="20"/>
        <v>126</v>
      </c>
      <c r="B138" s="352">
        <f t="shared" si="24"/>
        <v>1</v>
      </c>
      <c r="C138" s="363">
        <f t="shared" si="25"/>
        <v>0.99999999999999978</v>
      </c>
      <c r="D138" s="352">
        <f t="shared" si="26"/>
        <v>1</v>
      </c>
      <c r="E138" s="364">
        <f t="shared" si="27"/>
        <v>1</v>
      </c>
      <c r="F138" s="364">
        <f t="shared" si="28"/>
        <v>1</v>
      </c>
      <c r="G138" s="365">
        <f t="shared" si="29"/>
        <v>1</v>
      </c>
      <c r="P138" s="358">
        <f t="shared" si="21"/>
        <v>126</v>
      </c>
      <c r="Q138" s="359">
        <f>(('Methane Leakage'!$C$6/'Methane Leakage'!$C$5)*102*'Emissions Factors'!$C$38*'Calcs - Power'!$G137+'Emissions Factors'!$C$37*('Calcs - Power'!$H137+'Calcs - Power'!$I137+'Calcs - Power'!$J137+'Calcs - Power'!$K137))</f>
        <v>31142.501143818707</v>
      </c>
      <c r="R138" s="366">
        <f>(('Methane Leakage'!$C$6/'Methane Leakage'!$C$5)*102*'Emissions Factors'!$C$38*'Calcs - Power'!$B137+'Emissions Factors'!$C$37*('Calcs - Power'!$C137+'Calcs - Power'!$D137+'Calcs - Power'!$E137+'Calcs - Power'!$F137))</f>
        <v>2389465.7626161259</v>
      </c>
      <c r="S138" s="359">
        <f>(('Methane Leakage'!$C$6/'Methane Leakage'!$C$5)*102*'Emissions Factors'!$D$38*'Calcs - Power'!$G137+'Emissions Factors'!$D$37*('Calcs - Power'!$H137+'Calcs - Power'!$I137+'Calcs - Power'!$J137+'Calcs - Power'!$K137))</f>
        <v>31142.501143818707</v>
      </c>
      <c r="T138" s="366">
        <f>(('Methane Leakage'!$C$6/'Methane Leakage'!$C$5)*102*'Emissions Factors'!$D$38*'Calcs - Power'!$B137+'Emissions Factors'!$D$37*('Calcs - Power'!$C137+'Calcs - Power'!$D137+'Calcs - Power'!$E137+'Calcs - Power'!$F137))</f>
        <v>2389465.7626161259</v>
      </c>
      <c r="U138" s="361">
        <f>(102*'Emissions Factors'!$C$36*'Calcs - Power'!$G137+'Emissions Factors'!$C$35*('Calcs - Power'!$H137+'Calcs - Power'!$I137+'Calcs - Power'!$J137+'Calcs - Power'!$K137))</f>
        <v>56587.709655455699</v>
      </c>
      <c r="V138" s="366">
        <f>(102*'Emissions Factors'!$C$36*'Calcs - Power'!$B137+'Emissions Factors'!$C$35*('Calcs - Power'!$C137+'Calcs - Power'!$D137+'Calcs - Power'!$E137+'Calcs - Power'!$F137))</f>
        <v>4070881.9354542107</v>
      </c>
      <c r="W138" s="359">
        <f>(102*'Emissions Factors'!$D$36*'Calcs - Power'!$G137+'Emissions Factors'!$D$35*('Calcs - Power'!$H137+'Calcs - Power'!$I137+'Calcs - Power'!$J137+'Calcs - Power'!$K137))</f>
        <v>56587.709655455699</v>
      </c>
      <c r="X138" s="366">
        <f>(102*'Emissions Factors'!$D$36*'Calcs - Power'!$B137+'Emissions Factors'!$D$35*('Calcs - Power'!$C137+'Calcs - Power'!$D137+'Calcs - Power'!$E137+'Calcs - Power'!$F137))</f>
        <v>4070881.9354542107</v>
      </c>
      <c r="Y138" s="359">
        <f>(102*'Emissions Factors'!$C$38*'Calcs - Power'!$G137+'Emissions Factors'!$C$37*('Calcs - Power'!$H137+'Calcs - Power'!$I137+'Calcs - Power'!$J137+'Calcs - Power'!$K137))</f>
        <v>31142.501143818707</v>
      </c>
      <c r="Z138" s="366">
        <f>(102*'Emissions Factors'!$C$38*'Calcs - Power'!$B137+'Emissions Factors'!$C$37*('Calcs - Power'!$C137+'Calcs - Power'!$D137+'Calcs - Power'!$E137+'Calcs - Power'!$F137))</f>
        <v>2389465.7626161259</v>
      </c>
      <c r="AA138" s="359">
        <f>(102*'Emissions Factors'!$C$36*'Calcs - Power'!$G137+'Emissions Factors'!$C$35*('Calcs - Power'!$H137+'Calcs - Power'!$I137+'Calcs - Power'!$J137+'Calcs - Power'!$K137))</f>
        <v>56587.709655455699</v>
      </c>
      <c r="AB138" s="366">
        <f>(102*'Emissions Factors'!$C$36*'Calcs - Power'!$B137+'Emissions Factors'!$C$35*('Calcs - Power'!$C137+'Calcs - Power'!$D137+'Calcs - Power'!$E137+'Calcs - Power'!$F137))</f>
        <v>4070881.9354542107</v>
      </c>
      <c r="AI138" s="358">
        <f t="shared" si="22"/>
        <v>126</v>
      </c>
      <c r="AJ138" s="359">
        <f>(('Methane Leakage'!$G$6/'Methane Leakage'!$G$5)*102*'Emissions Factors'!$D$10*'Calcs - Power'!$G137+'Emissions Factors'!$D$11*('Calcs - Power'!$H137+'Calcs - Power'!$I137+'Calcs - Power'!$J137+'Calcs - Power'!$K137))</f>
        <v>4284.2639718044475</v>
      </c>
      <c r="AK138" s="366">
        <f>(('Methane Leakage'!$G$6/'Methane Leakage'!$G$5)*102*'Emissions Factors'!$D$10*'Calcs - Power'!$B137+'Emissions Factors'!$D$11*('Calcs - Power'!$C137+'Calcs - Power'!$D137+'Calcs - Power'!$E137+'Calcs - Power'!$F137))</f>
        <v>336170.30209506542</v>
      </c>
      <c r="AL138" s="359">
        <f>(102*'Emissions Factors'!$E$10*'Calcs - Power'!$G137+'Emissions Factors'!$E$11*('Calcs - Power'!H137+'Calcs - Power'!I137+'Calcs - Power'!J137+'Calcs - Power'!K137))</f>
        <v>5041.4130867318872</v>
      </c>
      <c r="AM138" s="366">
        <f>(102*'Emissions Factors'!$E$10*'Calcs - Power'!$B137+'Emissions Factors'!$E$11*('Calcs - Power'!C137+'Calcs - Power'!D137+'Calcs - Power'!E137+'Calcs - Power'!F137))</f>
        <v>364570.14298900397</v>
      </c>
      <c r="AN138" s="359">
        <f>(102*'Emissions Factors'!$D$10*'Calcs - Power'!$G137+'Emissions Factors'!$D$11*('Calcs - Power'!$H137+'Calcs - Power'!$I137+'Calcs - Power'!$J137+'Calcs - Power'!$K137))</f>
        <v>4284.2639718044475</v>
      </c>
      <c r="AO138" s="366">
        <f>(102*'Emissions Factors'!$D$10*'Calcs - Power'!$B137+'Emissions Factors'!$D$11*('Calcs - Power'!$C137+'Calcs - Power'!$D137+'Calcs - Power'!$E137+'Calcs - Power'!$F137))</f>
        <v>336170.30209506542</v>
      </c>
      <c r="AP138" s="367">
        <f>(102*'Emissions Factors'!$E$10*'Calcs - Power'!$G137+'Emissions Factors'!$E$11*('Calcs - Power'!H137+'Calcs - Power'!I137+'Calcs - Power'!J137+'Calcs - Power'!K137))</f>
        <v>5041.4130867318872</v>
      </c>
      <c r="AQ138" s="366">
        <f>(102*'Emissions Factors'!$E$10*'Calcs - Power'!$B137+'Emissions Factors'!$E$11*('Calcs - Power'!C137+'Calcs - Power'!D137+'Calcs - Power'!E137+'Calcs - Power'!F137))</f>
        <v>364570.14298900397</v>
      </c>
      <c r="AS138" s="357"/>
      <c r="AT138" s="357"/>
      <c r="AU138" s="357"/>
      <c r="AV138" s="357"/>
      <c r="AX138" s="358">
        <f t="shared" si="23"/>
        <v>126</v>
      </c>
      <c r="AY138" s="359">
        <f>(('Methane Leakage'!$G$6/'Methane Leakage'!$G$5)*102*'Emissions Factors'!$F$10*'Calcs - Power'!$G137+'Emissions Factors'!$F$11*('Calcs - Power'!$H137+'Calcs - Power'!$I137+'Calcs - Power'!$J137+'Calcs - Power'!$K137))</f>
        <v>5869207.2900834866</v>
      </c>
      <c r="AZ138" s="366">
        <f>(('Methane Leakage'!$G$6/'Methane Leakage'!$G$5)*102*'Emissions Factors'!$F$10*'Calcs - Power'!$B137+'Emissions Factors'!$F$11*('Calcs - Power'!$C137+'Calcs - Power'!$D137+'Calcs - Power'!$E137+'Calcs - Power'!$F137))</f>
        <v>449676588.28095639</v>
      </c>
      <c r="BA138" s="359">
        <f>(102*'Emissions Factors'!$G$10*'Calcs - Power'!$G137+'Emissions Factors'!$G$11*('Calcs - Power'!H137+'Calcs - Power'!I137+'Calcs - Power'!J137+'Calcs - Power'!K137))</f>
        <v>5820960.7199552199</v>
      </c>
      <c r="BB138" s="366">
        <f>(102*'Emissions Factors'!$G$10*'Calcs - Power'!$B137+'Emissions Factors'!$G$11*('Calcs - Power'!C137+'Calcs - Power'!D137+'Calcs - Power'!E137+'Calcs - Power'!F137))</f>
        <v>419794822.20715755</v>
      </c>
      <c r="BC138" s="359">
        <f>(102*'Emissions Factors'!$F$10*'Calcs - Power'!$G137+'Emissions Factors'!$F$11*('Calcs - Power'!$H137+'Calcs - Power'!$I137+'Calcs - Power'!$J137+'Calcs - Power'!$K137))</f>
        <v>5869207.2900834866</v>
      </c>
      <c r="BD138" s="366">
        <f>(102*'Emissions Factors'!$F$10*'Calcs - Power'!$B137+'Emissions Factors'!$F$11*('Calcs - Power'!$C137+'Calcs - Power'!$D137+'Calcs - Power'!$E137+'Calcs - Power'!$F137))</f>
        <v>449676588.28095639</v>
      </c>
      <c r="BE138" s="359">
        <f>(102*'Emissions Factors'!$G$10*'Calcs - Power'!$G137+'Emissions Factors'!$G$11*('Calcs - Power'!H137+'Calcs - Power'!I137+'Calcs - Power'!J137+'Calcs - Power'!K137))</f>
        <v>5820960.7199552199</v>
      </c>
      <c r="BF138" s="366">
        <f>(102*'Emissions Factors'!$G$10*'Calcs - Power'!$B137+'Emissions Factors'!$G$11*('Calcs - Power'!C137+'Calcs - Power'!D137+'Calcs - Power'!E137+'Calcs - Power'!F137))</f>
        <v>419794822.20715755</v>
      </c>
    </row>
    <row r="139" spans="1:58" x14ac:dyDescent="0.3">
      <c r="A139" s="351">
        <f t="shared" si="20"/>
        <v>127</v>
      </c>
      <c r="B139" s="352">
        <f t="shared" si="24"/>
        <v>1</v>
      </c>
      <c r="C139" s="363">
        <f t="shared" si="25"/>
        <v>1</v>
      </c>
      <c r="D139" s="352">
        <f t="shared" si="26"/>
        <v>1</v>
      </c>
      <c r="E139" s="364">
        <f t="shared" si="27"/>
        <v>1</v>
      </c>
      <c r="F139" s="364">
        <f t="shared" si="28"/>
        <v>1</v>
      </c>
      <c r="G139" s="365">
        <f t="shared" si="29"/>
        <v>1</v>
      </c>
      <c r="P139" s="358">
        <f t="shared" si="21"/>
        <v>127</v>
      </c>
      <c r="Q139" s="359">
        <f>(('Methane Leakage'!$C$6/'Methane Leakage'!$C$5)*102*'Emissions Factors'!$C$38*'Calcs - Power'!$G138+'Emissions Factors'!$C$37*('Calcs - Power'!$H138+'Calcs - Power'!$I138+'Calcs - Power'!$J138+'Calcs - Power'!$K138))</f>
        <v>31305.335834528294</v>
      </c>
      <c r="R139" s="366">
        <f>(('Methane Leakage'!$C$6/'Methane Leakage'!$C$5)*102*'Emissions Factors'!$C$38*'Calcs - Power'!$B138+'Emissions Factors'!$C$37*('Calcs - Power'!$C138+'Calcs - Power'!$D138+'Calcs - Power'!$E138+'Calcs - Power'!$F138))</f>
        <v>2420689.7105427114</v>
      </c>
      <c r="S139" s="359">
        <f>(('Methane Leakage'!$C$6/'Methane Leakage'!$C$5)*102*'Emissions Factors'!$D$38*'Calcs - Power'!$G138+'Emissions Factors'!$D$37*('Calcs - Power'!$H138+'Calcs - Power'!$I138+'Calcs - Power'!$J138+'Calcs - Power'!$K138))</f>
        <v>31305.335834528294</v>
      </c>
      <c r="T139" s="366">
        <f>(('Methane Leakage'!$C$6/'Methane Leakage'!$C$5)*102*'Emissions Factors'!$D$38*'Calcs - Power'!$B138+'Emissions Factors'!$D$37*('Calcs - Power'!$C138+'Calcs - Power'!$D138+'Calcs - Power'!$E138+'Calcs - Power'!$F138))</f>
        <v>2420689.7105427114</v>
      </c>
      <c r="U139" s="361">
        <f>(102*'Emissions Factors'!$C$36*'Calcs - Power'!$G138+'Emissions Factors'!$C$35*('Calcs - Power'!$H138+'Calcs - Power'!$I138+'Calcs - Power'!$J138+'Calcs - Power'!$K138))</f>
        <v>56921.574074625001</v>
      </c>
      <c r="V139" s="366">
        <f>(102*'Emissions Factors'!$C$36*'Calcs - Power'!$B138+'Emissions Factors'!$C$35*('Calcs - Power'!$C138+'Calcs - Power'!$D138+'Calcs - Power'!$E138+'Calcs - Power'!$F138))</f>
        <v>4127636.6375673651</v>
      </c>
      <c r="W139" s="359">
        <f>(102*'Emissions Factors'!$D$36*'Calcs - Power'!$G138+'Emissions Factors'!$D$35*('Calcs - Power'!$H138+'Calcs - Power'!$I138+'Calcs - Power'!$J138+'Calcs - Power'!$K138))</f>
        <v>56921.574074625001</v>
      </c>
      <c r="X139" s="366">
        <f>(102*'Emissions Factors'!$D$36*'Calcs - Power'!$B138+'Emissions Factors'!$D$35*('Calcs - Power'!$C138+'Calcs - Power'!$D138+'Calcs - Power'!$E138+'Calcs - Power'!$F138))</f>
        <v>4127636.6375673651</v>
      </c>
      <c r="Y139" s="359">
        <f>(102*'Emissions Factors'!$C$38*'Calcs - Power'!$G138+'Emissions Factors'!$C$37*('Calcs - Power'!$H138+'Calcs - Power'!$I138+'Calcs - Power'!$J138+'Calcs - Power'!$K138))</f>
        <v>31305.335834528294</v>
      </c>
      <c r="Z139" s="366">
        <f>(102*'Emissions Factors'!$C$38*'Calcs - Power'!$B138+'Emissions Factors'!$C$37*('Calcs - Power'!$C138+'Calcs - Power'!$D138+'Calcs - Power'!$E138+'Calcs - Power'!$F138))</f>
        <v>2420689.7105427114</v>
      </c>
      <c r="AA139" s="359">
        <f>(102*'Emissions Factors'!$C$36*'Calcs - Power'!$G138+'Emissions Factors'!$C$35*('Calcs - Power'!$H138+'Calcs - Power'!$I138+'Calcs - Power'!$J138+'Calcs - Power'!$K138))</f>
        <v>56921.574074625001</v>
      </c>
      <c r="AB139" s="366">
        <f>(102*'Emissions Factors'!$C$36*'Calcs - Power'!$B138+'Emissions Factors'!$C$35*('Calcs - Power'!$C138+'Calcs - Power'!$D138+'Calcs - Power'!$E138+'Calcs - Power'!$F138))</f>
        <v>4127636.6375673651</v>
      </c>
      <c r="AI139" s="358">
        <f t="shared" si="22"/>
        <v>127</v>
      </c>
      <c r="AJ139" s="359">
        <f>(('Methane Leakage'!$G$6/'Methane Leakage'!$G$5)*102*'Emissions Factors'!$D$10*'Calcs - Power'!$G138+'Emissions Factors'!$D$11*('Calcs - Power'!$H138+'Calcs - Power'!$I138+'Calcs - Power'!$J138+'Calcs - Power'!$K138))</f>
        <v>4305.6202195724945</v>
      </c>
      <c r="AK139" s="366">
        <f>(('Methane Leakage'!$G$6/'Methane Leakage'!$G$5)*102*'Emissions Factors'!$D$10*'Calcs - Power'!$B138+'Emissions Factors'!$D$11*('Calcs - Power'!$C138+'Calcs - Power'!$D138+'Calcs - Power'!$E138+'Calcs - Power'!$F138))</f>
        <v>340465.24805453367</v>
      </c>
      <c r="AL139" s="359">
        <f>(102*'Emissions Factors'!$E$10*'Calcs - Power'!$G138+'Emissions Factors'!$E$11*('Calcs - Power'!H138+'Calcs - Power'!I138+'Calcs - Power'!J138+'Calcs - Power'!K138))</f>
        <v>5070.891559291259</v>
      </c>
      <c r="AM139" s="366">
        <f>(102*'Emissions Factors'!$E$10*'Calcs - Power'!$B138+'Emissions Factors'!$E$11*('Calcs - Power'!C138+'Calcs - Power'!D138+'Calcs - Power'!E138+'Calcs - Power'!F138))</f>
        <v>369626.30063227779</v>
      </c>
      <c r="AN139" s="359">
        <f>(102*'Emissions Factors'!$D$10*'Calcs - Power'!$G138+'Emissions Factors'!$D$11*('Calcs - Power'!$H138+'Calcs - Power'!$I138+'Calcs - Power'!$J138+'Calcs - Power'!$K138))</f>
        <v>4305.6202195724945</v>
      </c>
      <c r="AO139" s="366">
        <f>(102*'Emissions Factors'!$D$10*'Calcs - Power'!$B138+'Emissions Factors'!$D$11*('Calcs - Power'!$C138+'Calcs - Power'!$D138+'Calcs - Power'!$E138+'Calcs - Power'!$F138))</f>
        <v>340465.24805453367</v>
      </c>
      <c r="AP139" s="367">
        <f>(102*'Emissions Factors'!$E$10*'Calcs - Power'!$G138+'Emissions Factors'!$E$11*('Calcs - Power'!H138+'Calcs - Power'!I138+'Calcs - Power'!J138+'Calcs - Power'!K138))</f>
        <v>5070.891559291259</v>
      </c>
      <c r="AQ139" s="366">
        <f>(102*'Emissions Factors'!$E$10*'Calcs - Power'!$B138+'Emissions Factors'!$E$11*('Calcs - Power'!C138+'Calcs - Power'!D138+'Calcs - Power'!E138+'Calcs - Power'!F138))</f>
        <v>369626.30063227779</v>
      </c>
      <c r="AS139" s="357"/>
      <c r="AT139" s="357"/>
      <c r="AU139" s="357"/>
      <c r="AV139" s="357"/>
      <c r="AX139" s="358">
        <f t="shared" si="23"/>
        <v>127</v>
      </c>
      <c r="AY139" s="359">
        <f>(('Methane Leakage'!$G$6/'Methane Leakage'!$G$5)*102*'Emissions Factors'!$F$10*'Calcs - Power'!$G138+'Emissions Factors'!$F$11*('Calcs - Power'!$H138+'Calcs - Power'!$I138+'Calcs - Power'!$J138+'Calcs - Power'!$K138))</f>
        <v>5899986.6109484006</v>
      </c>
      <c r="AZ139" s="366">
        <f>(('Methane Leakage'!$G$6/'Methane Leakage'!$G$5)*102*'Emissions Factors'!$F$10*'Calcs - Power'!$B138+'Emissions Factors'!$F$11*('Calcs - Power'!$C138+'Calcs - Power'!$D138+'Calcs - Power'!$E138+'Calcs - Power'!$F138))</f>
        <v>455561190.79552823</v>
      </c>
      <c r="BA139" s="359">
        <f>(102*'Emissions Factors'!$G$10*'Calcs - Power'!$G138+'Emissions Factors'!$G$11*('Calcs - Power'!H138+'Calcs - Power'!I138+'Calcs - Power'!J138+'Calcs - Power'!K138))</f>
        <v>5855158.4232949549</v>
      </c>
      <c r="BB139" s="366">
        <f>(102*'Emissions Factors'!$G$10*'Calcs - Power'!$B138+'Emissions Factors'!$G$11*('Calcs - Power'!C138+'Calcs - Power'!D138+'Calcs - Power'!E138+'Calcs - Power'!F138))</f>
        <v>425632887.95035952</v>
      </c>
      <c r="BC139" s="359">
        <f>(102*'Emissions Factors'!$F$10*'Calcs - Power'!$G138+'Emissions Factors'!$F$11*('Calcs - Power'!$H138+'Calcs - Power'!$I138+'Calcs - Power'!$J138+'Calcs - Power'!$K138))</f>
        <v>5899986.6109484006</v>
      </c>
      <c r="BD139" s="366">
        <f>(102*'Emissions Factors'!$F$10*'Calcs - Power'!$B138+'Emissions Factors'!$F$11*('Calcs - Power'!$C138+'Calcs - Power'!$D138+'Calcs - Power'!$E138+'Calcs - Power'!$F138))</f>
        <v>455561190.79552823</v>
      </c>
      <c r="BE139" s="359">
        <f>(102*'Emissions Factors'!$G$10*'Calcs - Power'!$G138+'Emissions Factors'!$G$11*('Calcs - Power'!H138+'Calcs - Power'!I138+'Calcs - Power'!J138+'Calcs - Power'!K138))</f>
        <v>5855158.4232949549</v>
      </c>
      <c r="BF139" s="366">
        <f>(102*'Emissions Factors'!$G$10*'Calcs - Power'!$B138+'Emissions Factors'!$G$11*('Calcs - Power'!C138+'Calcs - Power'!D138+'Calcs - Power'!E138+'Calcs - Power'!F138))</f>
        <v>425632887.95035952</v>
      </c>
    </row>
    <row r="140" spans="1:58" x14ac:dyDescent="0.3">
      <c r="A140" s="351">
        <f t="shared" si="20"/>
        <v>128</v>
      </c>
      <c r="B140" s="352">
        <f t="shared" si="24"/>
        <v>1</v>
      </c>
      <c r="C140" s="363">
        <f t="shared" si="25"/>
        <v>0.99999999999999978</v>
      </c>
      <c r="D140" s="352">
        <f t="shared" si="26"/>
        <v>1</v>
      </c>
      <c r="E140" s="364">
        <f t="shared" si="27"/>
        <v>1</v>
      </c>
      <c r="F140" s="364">
        <f t="shared" si="28"/>
        <v>1</v>
      </c>
      <c r="G140" s="365">
        <f t="shared" si="29"/>
        <v>1</v>
      </c>
      <c r="P140" s="358">
        <f t="shared" si="21"/>
        <v>128</v>
      </c>
      <c r="Q140" s="359">
        <f>(('Methane Leakage'!$C$6/'Methane Leakage'!$C$5)*102*'Emissions Factors'!$C$38*'Calcs - Power'!$G139+'Emissions Factors'!$C$37*('Calcs - Power'!$H139+'Calcs - Power'!$I139+'Calcs - Power'!$J139+'Calcs - Power'!$K139))</f>
        <v>31467.81854415403</v>
      </c>
      <c r="R140" s="366">
        <f>(('Methane Leakage'!$C$6/'Methane Leakage'!$C$5)*102*'Emissions Factors'!$C$38*'Calcs - Power'!$B139+'Emissions Factors'!$C$37*('Calcs - Power'!$C139+'Calcs - Power'!$D139+'Calcs - Power'!$E139+'Calcs - Power'!$F139))</f>
        <v>2452076.3169586314</v>
      </c>
      <c r="S140" s="359">
        <f>(('Methane Leakage'!$C$6/'Methane Leakage'!$C$5)*102*'Emissions Factors'!$D$38*'Calcs - Power'!$G139+'Emissions Factors'!$D$37*('Calcs - Power'!$H139+'Calcs - Power'!$I139+'Calcs - Power'!$J139+'Calcs - Power'!$K139))</f>
        <v>31467.81854415403</v>
      </c>
      <c r="T140" s="366">
        <f>(('Methane Leakage'!$C$6/'Methane Leakage'!$C$5)*102*'Emissions Factors'!$D$38*'Calcs - Power'!$B139+'Emissions Factors'!$D$37*('Calcs - Power'!$C139+'Calcs - Power'!$D139+'Calcs - Power'!$E139+'Calcs - Power'!$F139))</f>
        <v>2452076.3169586314</v>
      </c>
      <c r="U140" s="361">
        <f>(102*'Emissions Factors'!$C$36*'Calcs - Power'!$G139+'Emissions Factors'!$C$35*('Calcs - Power'!$H139+'Calcs - Power'!$I139+'Calcs - Power'!$J139+'Calcs - Power'!$K139))</f>
        <v>57254.718062183281</v>
      </c>
      <c r="V140" s="366">
        <f>(102*'Emissions Factors'!$C$36*'Calcs - Power'!$B139+'Emissions Factors'!$C$35*('Calcs - Power'!$C139+'Calcs - Power'!$D139+'Calcs - Power'!$E139+'Calcs - Power'!$F139))</f>
        <v>4184724.8434604695</v>
      </c>
      <c r="W140" s="359">
        <f>(102*'Emissions Factors'!$D$36*'Calcs - Power'!$G139+'Emissions Factors'!$D$35*('Calcs - Power'!$H139+'Calcs - Power'!$I139+'Calcs - Power'!$J139+'Calcs - Power'!$K139))</f>
        <v>57254.718062183281</v>
      </c>
      <c r="X140" s="366">
        <f>(102*'Emissions Factors'!$D$36*'Calcs - Power'!$B139+'Emissions Factors'!$D$35*('Calcs - Power'!$C139+'Calcs - Power'!$D139+'Calcs - Power'!$E139+'Calcs - Power'!$F139))</f>
        <v>4184724.8434604695</v>
      </c>
      <c r="Y140" s="359">
        <f>(102*'Emissions Factors'!$C$38*'Calcs - Power'!$G139+'Emissions Factors'!$C$37*('Calcs - Power'!$H139+'Calcs - Power'!$I139+'Calcs - Power'!$J139+'Calcs - Power'!$K139))</f>
        <v>31467.81854415403</v>
      </c>
      <c r="Z140" s="366">
        <f>(102*'Emissions Factors'!$C$38*'Calcs - Power'!$B139+'Emissions Factors'!$C$37*('Calcs - Power'!$C139+'Calcs - Power'!$D139+'Calcs - Power'!$E139+'Calcs - Power'!$F139))</f>
        <v>2452076.3169586314</v>
      </c>
      <c r="AA140" s="359">
        <f>(102*'Emissions Factors'!$C$36*'Calcs - Power'!$G139+'Emissions Factors'!$C$35*('Calcs - Power'!$H139+'Calcs - Power'!$I139+'Calcs - Power'!$J139+'Calcs - Power'!$K139))</f>
        <v>57254.718062183281</v>
      </c>
      <c r="AB140" s="366">
        <f>(102*'Emissions Factors'!$C$36*'Calcs - Power'!$B139+'Emissions Factors'!$C$35*('Calcs - Power'!$C139+'Calcs - Power'!$D139+'Calcs - Power'!$E139+'Calcs - Power'!$F139))</f>
        <v>4184724.8434604695</v>
      </c>
      <c r="AI140" s="358">
        <f t="shared" si="22"/>
        <v>128</v>
      </c>
      <c r="AJ140" s="359">
        <f>(('Methane Leakage'!$G$6/'Methane Leakage'!$G$5)*102*'Emissions Factors'!$D$10*'Calcs - Power'!$G139+'Emissions Factors'!$D$11*('Calcs - Power'!$H139+'Calcs - Power'!$I139+'Calcs - Power'!$J139+'Calcs - Power'!$K139))</f>
        <v>4326.9302697454368</v>
      </c>
      <c r="AK140" s="366">
        <f>(('Methane Leakage'!$G$6/'Methane Leakage'!$G$5)*102*'Emissions Factors'!$D$10*'Calcs - Power'!$B139+'Emissions Factors'!$D$11*('Calcs - Power'!$C139+'Calcs - Power'!$D139+'Calcs - Power'!$E139+'Calcs - Power'!$F139))</f>
        <v>344781.52713507728</v>
      </c>
      <c r="AL140" s="359">
        <f>(102*'Emissions Factors'!$E$10*'Calcs - Power'!$G139+'Emissions Factors'!$E$11*('Calcs - Power'!H139+'Calcs - Power'!I139+'Calcs - Power'!J139+'Calcs - Power'!K139))</f>
        <v>5100.306413814109</v>
      </c>
      <c r="AM140" s="366">
        <f>(102*'Emissions Factors'!$E$10*'Calcs - Power'!$B139+'Emissions Factors'!$E$11*('Calcs - Power'!C139+'Calcs - Power'!D139+'Calcs - Power'!E139+'Calcs - Power'!F139))</f>
        <v>374711.9049016526</v>
      </c>
      <c r="AN140" s="359">
        <f>(102*'Emissions Factors'!$D$10*'Calcs - Power'!$G139+'Emissions Factors'!$D$11*('Calcs - Power'!$H139+'Calcs - Power'!$I139+'Calcs - Power'!$J139+'Calcs - Power'!$K139))</f>
        <v>4326.9302697454368</v>
      </c>
      <c r="AO140" s="366">
        <f>(102*'Emissions Factors'!$D$10*'Calcs - Power'!$B139+'Emissions Factors'!$D$11*('Calcs - Power'!$C139+'Calcs - Power'!$D139+'Calcs - Power'!$E139+'Calcs - Power'!$F139))</f>
        <v>344781.52713507728</v>
      </c>
      <c r="AP140" s="367">
        <f>(102*'Emissions Factors'!$E$10*'Calcs - Power'!$G139+'Emissions Factors'!$E$11*('Calcs - Power'!H139+'Calcs - Power'!I139+'Calcs - Power'!J139+'Calcs - Power'!K139))</f>
        <v>5100.306413814109</v>
      </c>
      <c r="AQ140" s="366">
        <f>(102*'Emissions Factors'!$E$10*'Calcs - Power'!$B139+'Emissions Factors'!$E$11*('Calcs - Power'!C139+'Calcs - Power'!D139+'Calcs - Power'!E139+'Calcs - Power'!F139))</f>
        <v>374711.9049016526</v>
      </c>
      <c r="AS140" s="357"/>
      <c r="AT140" s="357"/>
      <c r="AU140" s="357"/>
      <c r="AV140" s="357"/>
      <c r="AX140" s="358">
        <f t="shared" si="23"/>
        <v>128</v>
      </c>
      <c r="AY140" s="359">
        <f>(('Methane Leakage'!$G$6/'Methane Leakage'!$G$5)*102*'Emissions Factors'!$F$10*'Calcs - Power'!$G139+'Emissions Factors'!$F$11*('Calcs - Power'!$H139+'Calcs - Power'!$I139+'Calcs - Power'!$J139+'Calcs - Power'!$K139))</f>
        <v>5930699.4026666861</v>
      </c>
      <c r="AZ140" s="366">
        <f>(('Methane Leakage'!$G$6/'Methane Leakage'!$G$5)*102*'Emissions Factors'!$F$10*'Calcs - Power'!$B139+'Emissions Factors'!$F$11*('Calcs - Power'!$C139+'Calcs - Power'!$D139+'Calcs - Power'!$E139+'Calcs - Power'!$F139))</f>
        <v>461476539.32656085</v>
      </c>
      <c r="BA140" s="359">
        <f>(102*'Emissions Factors'!$G$10*'Calcs - Power'!$G139+'Emissions Factors'!$G$11*('Calcs - Power'!H139+'Calcs - Power'!I139+'Calcs - Power'!J139+'Calcs - Power'!K139))</f>
        <v>5889282.3286574259</v>
      </c>
      <c r="BB140" s="366">
        <f>(102*'Emissions Factors'!$G$10*'Calcs - Power'!$B139+'Emissions Factors'!$G$11*('Calcs - Power'!C139+'Calcs - Power'!D139+'Calcs - Power'!E139+'Calcs - Power'!F139))</f>
        <v>431505114.45451212</v>
      </c>
      <c r="BC140" s="359">
        <f>(102*'Emissions Factors'!$F$10*'Calcs - Power'!$G139+'Emissions Factors'!$F$11*('Calcs - Power'!$H139+'Calcs - Power'!$I139+'Calcs - Power'!$J139+'Calcs - Power'!$K139))</f>
        <v>5930699.4026666861</v>
      </c>
      <c r="BD140" s="366">
        <f>(102*'Emissions Factors'!$F$10*'Calcs - Power'!$B139+'Emissions Factors'!$F$11*('Calcs - Power'!$C139+'Calcs - Power'!$D139+'Calcs - Power'!$E139+'Calcs - Power'!$F139))</f>
        <v>461476539.32656085</v>
      </c>
      <c r="BE140" s="359">
        <f>(102*'Emissions Factors'!$G$10*'Calcs - Power'!$G139+'Emissions Factors'!$G$11*('Calcs - Power'!H139+'Calcs - Power'!I139+'Calcs - Power'!J139+'Calcs - Power'!K139))</f>
        <v>5889282.3286574259</v>
      </c>
      <c r="BF140" s="366">
        <f>(102*'Emissions Factors'!$G$10*'Calcs - Power'!$B139+'Emissions Factors'!$G$11*('Calcs - Power'!C139+'Calcs - Power'!D139+'Calcs - Power'!E139+'Calcs - Power'!F139))</f>
        <v>431505114.45451212</v>
      </c>
    </row>
    <row r="141" spans="1:58" x14ac:dyDescent="0.3">
      <c r="A141" s="351">
        <f t="shared" si="20"/>
        <v>129</v>
      </c>
      <c r="B141" s="352">
        <f t="shared" si="24"/>
        <v>1</v>
      </c>
      <c r="C141" s="363">
        <f t="shared" si="25"/>
        <v>1</v>
      </c>
      <c r="D141" s="352">
        <f t="shared" si="26"/>
        <v>1</v>
      </c>
      <c r="E141" s="364">
        <f t="shared" si="27"/>
        <v>1</v>
      </c>
      <c r="F141" s="364">
        <f t="shared" si="28"/>
        <v>1</v>
      </c>
      <c r="G141" s="365">
        <f t="shared" si="29"/>
        <v>1</v>
      </c>
      <c r="P141" s="358">
        <f t="shared" si="21"/>
        <v>129</v>
      </c>
      <c r="Q141" s="359">
        <f>(('Methane Leakage'!$C$6/'Methane Leakage'!$C$5)*102*'Emissions Factors'!$C$38*'Calcs - Power'!$G140+'Emissions Factors'!$C$37*('Calcs - Power'!$H140+'Calcs - Power'!$I140+'Calcs - Power'!$J140+'Calcs - Power'!$K140))</f>
        <v>31629.951781571839</v>
      </c>
      <c r="R141" s="366">
        <f>(('Methane Leakage'!$C$6/'Methane Leakage'!$C$5)*102*'Emissions Factors'!$C$38*'Calcs - Power'!$B140+'Emissions Factors'!$C$37*('Calcs - Power'!$C140+'Calcs - Power'!$D140+'Calcs - Power'!$E140+'Calcs - Power'!$F140))</f>
        <v>2483625.2311407398</v>
      </c>
      <c r="S141" s="359">
        <f>(('Methane Leakage'!$C$6/'Methane Leakage'!$C$5)*102*'Emissions Factors'!$D$38*'Calcs - Power'!$G140+'Emissions Factors'!$D$37*('Calcs - Power'!$H140+'Calcs - Power'!$I140+'Calcs - Power'!$J140+'Calcs - Power'!$K140))</f>
        <v>31629.951781571839</v>
      </c>
      <c r="T141" s="366">
        <f>(('Methane Leakage'!$C$6/'Methane Leakage'!$C$5)*102*'Emissions Factors'!$D$38*'Calcs - Power'!$B140+'Emissions Factors'!$D$37*('Calcs - Power'!$C140+'Calcs - Power'!$D140+'Calcs - Power'!$E140+'Calcs - Power'!$F140))</f>
        <v>2483625.2311407398</v>
      </c>
      <c r="U141" s="361">
        <f>(102*'Emissions Factors'!$C$36*'Calcs - Power'!$G140+'Emissions Factors'!$C$35*('Calcs - Power'!$H140+'Calcs - Power'!$I140+'Calcs - Power'!$J140+'Calcs - Power'!$K140))</f>
        <v>57587.146660097256</v>
      </c>
      <c r="V141" s="366">
        <f>(102*'Emissions Factors'!$C$36*'Calcs - Power'!$B140+'Emissions Factors'!$C$35*('Calcs - Power'!$C140+'Calcs - Power'!$D140+'Calcs - Power'!$E140+'Calcs - Power'!$F140))</f>
        <v>4242145.8352293614</v>
      </c>
      <c r="W141" s="359">
        <f>(102*'Emissions Factors'!$D$36*'Calcs - Power'!$G140+'Emissions Factors'!$D$35*('Calcs - Power'!$H140+'Calcs - Power'!$I140+'Calcs - Power'!$J140+'Calcs - Power'!$K140))</f>
        <v>57587.146660097256</v>
      </c>
      <c r="X141" s="366">
        <f>(102*'Emissions Factors'!$D$36*'Calcs - Power'!$B140+'Emissions Factors'!$D$35*('Calcs - Power'!$C140+'Calcs - Power'!$D140+'Calcs - Power'!$E140+'Calcs - Power'!$F140))</f>
        <v>4242145.8352293614</v>
      </c>
      <c r="Y141" s="359">
        <f>(102*'Emissions Factors'!$C$38*'Calcs - Power'!$G140+'Emissions Factors'!$C$37*('Calcs - Power'!$H140+'Calcs - Power'!$I140+'Calcs - Power'!$J140+'Calcs - Power'!$K140))</f>
        <v>31629.951781571839</v>
      </c>
      <c r="Z141" s="366">
        <f>(102*'Emissions Factors'!$C$38*'Calcs - Power'!$B140+'Emissions Factors'!$C$37*('Calcs - Power'!$C140+'Calcs - Power'!$D140+'Calcs - Power'!$E140+'Calcs - Power'!$F140))</f>
        <v>2483625.2311407398</v>
      </c>
      <c r="AA141" s="359">
        <f>(102*'Emissions Factors'!$C$36*'Calcs - Power'!$G140+'Emissions Factors'!$C$35*('Calcs - Power'!$H140+'Calcs - Power'!$I140+'Calcs - Power'!$J140+'Calcs - Power'!$K140))</f>
        <v>57587.146660097256</v>
      </c>
      <c r="AB141" s="366">
        <f>(102*'Emissions Factors'!$C$36*'Calcs - Power'!$B140+'Emissions Factors'!$C$35*('Calcs - Power'!$C140+'Calcs - Power'!$D140+'Calcs - Power'!$E140+'Calcs - Power'!$F140))</f>
        <v>4242145.8352293614</v>
      </c>
      <c r="AI141" s="358">
        <f t="shared" si="22"/>
        <v>129</v>
      </c>
      <c r="AJ141" s="359">
        <f>(('Methane Leakage'!$G$6/'Methane Leakage'!$G$5)*102*'Emissions Factors'!$D$10*'Calcs - Power'!$G140+'Emissions Factors'!$D$11*('Calcs - Power'!$H140+'Calcs - Power'!$I140+'Calcs - Power'!$J140+'Calcs - Power'!$K140))</f>
        <v>4348.1944541768898</v>
      </c>
      <c r="AK141" s="366">
        <f>(('Methane Leakage'!$G$6/'Methane Leakage'!$G$5)*102*'Emissions Factors'!$D$10*'Calcs - Power'!$B140+'Emissions Factors'!$D$11*('Calcs - Power'!$C140+'Calcs - Power'!$D140+'Calcs - Power'!$E140+'Calcs - Power'!$F140))</f>
        <v>349119.09330550639</v>
      </c>
      <c r="AL141" s="359">
        <f>(102*'Emissions Factors'!$E$10*'Calcs - Power'!$G140+'Emissions Factors'!$E$11*('Calcs - Power'!H140+'Calcs - Power'!I140+'Calcs - Power'!J140+'Calcs - Power'!K140))</f>
        <v>5129.6580961119498</v>
      </c>
      <c r="AM141" s="366">
        <f>(102*'Emissions Factors'!$E$10*'Calcs - Power'!$B140+'Emissions Factors'!$E$11*('Calcs - Power'!C140+'Calcs - Power'!D140+'Calcs - Power'!E140+'Calcs - Power'!F140))</f>
        <v>379826.89240257279</v>
      </c>
      <c r="AN141" s="359">
        <f>(102*'Emissions Factors'!$D$10*'Calcs - Power'!$G140+'Emissions Factors'!$D$11*('Calcs - Power'!$H140+'Calcs - Power'!$I140+'Calcs - Power'!$J140+'Calcs - Power'!$K140))</f>
        <v>4348.1944541768898</v>
      </c>
      <c r="AO141" s="366">
        <f>(102*'Emissions Factors'!$D$10*'Calcs - Power'!$B140+'Emissions Factors'!$D$11*('Calcs - Power'!$C140+'Calcs - Power'!$D140+'Calcs - Power'!$E140+'Calcs - Power'!$F140))</f>
        <v>349119.09330550639</v>
      </c>
      <c r="AP141" s="367">
        <f>(102*'Emissions Factors'!$E$10*'Calcs - Power'!$G140+'Emissions Factors'!$E$11*('Calcs - Power'!H140+'Calcs - Power'!I140+'Calcs - Power'!J140+'Calcs - Power'!K140))</f>
        <v>5129.6580961119498</v>
      </c>
      <c r="AQ141" s="366">
        <f>(102*'Emissions Factors'!$E$10*'Calcs - Power'!$B140+'Emissions Factors'!$E$11*('Calcs - Power'!C140+'Calcs - Power'!D140+'Calcs - Power'!E140+'Calcs - Power'!F140))</f>
        <v>379826.89240257279</v>
      </c>
      <c r="AS141" s="357"/>
      <c r="AT141" s="357"/>
      <c r="AU141" s="357"/>
      <c r="AV141" s="357"/>
      <c r="AX141" s="358">
        <f t="shared" si="23"/>
        <v>129</v>
      </c>
      <c r="AY141" s="359">
        <f>(('Methane Leakage'!$G$6/'Methane Leakage'!$G$5)*102*'Emissions Factors'!$F$10*'Calcs - Power'!$G140+'Emissions Factors'!$F$11*('Calcs - Power'!$H140+'Calcs - Power'!$I140+'Calcs - Power'!$J140+'Calcs - Power'!$K140))</f>
        <v>5961346.1392262802</v>
      </c>
      <c r="AZ141" s="366">
        <f>(('Methane Leakage'!$G$6/'Methane Leakage'!$G$5)*102*'Emissions Factors'!$F$10*'Calcs - Power'!$B140+'Emissions Factors'!$F$11*('Calcs - Power'!$C140+'Calcs - Power'!$D140+'Calcs - Power'!$E140+'Calcs - Power'!$F140))</f>
        <v>467422567.58256137</v>
      </c>
      <c r="BA141" s="359">
        <f>(102*'Emissions Factors'!$G$10*'Calcs - Power'!$G140+'Emissions Factors'!$G$11*('Calcs - Power'!H140+'Calcs - Power'!I140+'Calcs - Power'!J140+'Calcs - Power'!K140))</f>
        <v>5923332.9528376292</v>
      </c>
      <c r="BB141" s="366">
        <f>(102*'Emissions Factors'!$G$10*'Calcs - Power'!$B140+'Emissions Factors'!$G$11*('Calcs - Power'!C140+'Calcs - Power'!D140+'Calcs - Power'!E140+'Calcs - Power'!F140))</f>
        <v>437411428.18070042</v>
      </c>
      <c r="BC141" s="359">
        <f>(102*'Emissions Factors'!$F$10*'Calcs - Power'!$G140+'Emissions Factors'!$F$11*('Calcs - Power'!$H140+'Calcs - Power'!$I140+'Calcs - Power'!$J140+'Calcs - Power'!$K140))</f>
        <v>5961346.1392262802</v>
      </c>
      <c r="BD141" s="366">
        <f>(102*'Emissions Factors'!$F$10*'Calcs - Power'!$B140+'Emissions Factors'!$F$11*('Calcs - Power'!$C140+'Calcs - Power'!$D140+'Calcs - Power'!$E140+'Calcs - Power'!$F140))</f>
        <v>467422567.58256137</v>
      </c>
      <c r="BE141" s="359">
        <f>(102*'Emissions Factors'!$G$10*'Calcs - Power'!$G140+'Emissions Factors'!$G$11*('Calcs - Power'!H140+'Calcs - Power'!I140+'Calcs - Power'!J140+'Calcs - Power'!K140))</f>
        <v>5923332.9528376292</v>
      </c>
      <c r="BF141" s="366">
        <f>(102*'Emissions Factors'!$G$10*'Calcs - Power'!$B140+'Emissions Factors'!$G$11*('Calcs - Power'!C140+'Calcs - Power'!D140+'Calcs - Power'!E140+'Calcs - Power'!F140))</f>
        <v>437411428.18070042</v>
      </c>
    </row>
    <row r="142" spans="1:58" x14ac:dyDescent="0.3">
      <c r="A142" s="351">
        <f t="shared" si="20"/>
        <v>130</v>
      </c>
      <c r="B142" s="352">
        <f t="shared" si="24"/>
        <v>1</v>
      </c>
      <c r="C142" s="363">
        <f t="shared" si="25"/>
        <v>1</v>
      </c>
      <c r="D142" s="352">
        <f t="shared" si="26"/>
        <v>1</v>
      </c>
      <c r="E142" s="364">
        <f t="shared" si="27"/>
        <v>1</v>
      </c>
      <c r="F142" s="364">
        <f t="shared" si="28"/>
        <v>1</v>
      </c>
      <c r="G142" s="365">
        <f t="shared" si="29"/>
        <v>1</v>
      </c>
      <c r="P142" s="358">
        <f t="shared" si="21"/>
        <v>130</v>
      </c>
      <c r="Q142" s="359">
        <f>(('Methane Leakage'!$C$6/'Methane Leakage'!$C$5)*102*'Emissions Factors'!$C$38*'Calcs - Power'!$G141+'Emissions Factors'!$C$37*('Calcs - Power'!$H141+'Calcs - Power'!$I141+'Calcs - Power'!$J141+'Calcs - Power'!$K141))</f>
        <v>31791.738014564529</v>
      </c>
      <c r="R142" s="366">
        <f>(('Methane Leakage'!$C$6/'Methane Leakage'!$C$5)*102*'Emissions Factors'!$C$38*'Calcs - Power'!$B141+'Emissions Factors'!$C$37*('Calcs - Power'!$C141+'Calcs - Power'!$D141+'Calcs - Power'!$E141+'Calcs - Power'!$F141))</f>
        <v>2515336.1048540701</v>
      </c>
      <c r="S142" s="359">
        <f>(('Methane Leakage'!$C$6/'Methane Leakage'!$C$5)*102*'Emissions Factors'!$D$38*'Calcs - Power'!$G141+'Emissions Factors'!$D$37*('Calcs - Power'!$H141+'Calcs - Power'!$I141+'Calcs - Power'!$J141+'Calcs - Power'!$K141))</f>
        <v>31791.738014564529</v>
      </c>
      <c r="T142" s="366">
        <f>(('Methane Leakage'!$C$6/'Methane Leakage'!$C$5)*102*'Emissions Factors'!$D$38*'Calcs - Power'!$B141+'Emissions Factors'!$D$37*('Calcs - Power'!$C141+'Calcs - Power'!$D141+'Calcs - Power'!$E141+'Calcs - Power'!$F141))</f>
        <v>2515336.1048540701</v>
      </c>
      <c r="U142" s="361">
        <f>(102*'Emissions Factors'!$C$36*'Calcs - Power'!$G141+'Emissions Factors'!$C$35*('Calcs - Power'!$H141+'Calcs - Power'!$I141+'Calcs - Power'!$J141+'Calcs - Power'!$K141))</f>
        <v>57918.864834254506</v>
      </c>
      <c r="V142" s="366">
        <f>(102*'Emissions Factors'!$C$36*'Calcs - Power'!$B141+'Emissions Factors'!$C$35*('Calcs - Power'!$C141+'Calcs - Power'!$D141+'Calcs - Power'!$E141+'Calcs - Power'!$F141))</f>
        <v>4299898.8999735573</v>
      </c>
      <c r="W142" s="359">
        <f>(102*'Emissions Factors'!$D$36*'Calcs - Power'!$G141+'Emissions Factors'!$D$35*('Calcs - Power'!$H141+'Calcs - Power'!$I141+'Calcs - Power'!$J141+'Calcs - Power'!$K141))</f>
        <v>57918.864834254506</v>
      </c>
      <c r="X142" s="366">
        <f>(102*'Emissions Factors'!$D$36*'Calcs - Power'!$B141+'Emissions Factors'!$D$35*('Calcs - Power'!$C141+'Calcs - Power'!$D141+'Calcs - Power'!$E141+'Calcs - Power'!$F141))</f>
        <v>4299898.8999735573</v>
      </c>
      <c r="Y142" s="359">
        <f>(102*'Emissions Factors'!$C$38*'Calcs - Power'!$G141+'Emissions Factors'!$C$37*('Calcs - Power'!$H141+'Calcs - Power'!$I141+'Calcs - Power'!$J141+'Calcs - Power'!$K141))</f>
        <v>31791.738014564529</v>
      </c>
      <c r="Z142" s="366">
        <f>(102*'Emissions Factors'!$C$38*'Calcs - Power'!$B141+'Emissions Factors'!$C$37*('Calcs - Power'!$C141+'Calcs - Power'!$D141+'Calcs - Power'!$E141+'Calcs - Power'!$F141))</f>
        <v>2515336.1048540701</v>
      </c>
      <c r="AA142" s="359">
        <f>(102*'Emissions Factors'!$C$36*'Calcs - Power'!$G141+'Emissions Factors'!$C$35*('Calcs - Power'!$H141+'Calcs - Power'!$I141+'Calcs - Power'!$J141+'Calcs - Power'!$K141))</f>
        <v>57918.864834254506</v>
      </c>
      <c r="AB142" s="366">
        <f>(102*'Emissions Factors'!$C$36*'Calcs - Power'!$B141+'Emissions Factors'!$C$35*('Calcs - Power'!$C141+'Calcs - Power'!$D141+'Calcs - Power'!$E141+'Calcs - Power'!$F141))</f>
        <v>4299898.8999735573</v>
      </c>
      <c r="AI142" s="358">
        <f t="shared" si="22"/>
        <v>130</v>
      </c>
      <c r="AJ142" s="359">
        <f>(('Methane Leakage'!$G$6/'Methane Leakage'!$G$5)*102*'Emissions Factors'!$D$10*'Calcs - Power'!$G141+'Emissions Factors'!$D$11*('Calcs - Power'!$H141+'Calcs - Power'!$I141+'Calcs - Power'!$J141+'Calcs - Power'!$K141))</f>
        <v>4369.4130991061111</v>
      </c>
      <c r="AK142" s="366">
        <f>(('Methane Leakage'!$G$6/'Methane Leakage'!$G$5)*102*'Emissions Factors'!$D$10*'Calcs - Power'!$B141+'Emissions Factors'!$D$11*('Calcs - Power'!$C141+'Calcs - Power'!$D141+'Calcs - Power'!$E141+'Calcs - Power'!$F141))</f>
        <v>353477.90086365654</v>
      </c>
      <c r="AL142" s="359">
        <f>(102*'Emissions Factors'!$E$10*'Calcs - Power'!$G141+'Emissions Factors'!$E$11*('Calcs - Power'!H141+'Calcs - Power'!I141+'Calcs - Power'!J141+'Calcs - Power'!K141))</f>
        <v>5158.9470452282485</v>
      </c>
      <c r="AM142" s="366">
        <f>(102*'Emissions Factors'!$E$10*'Calcs - Power'!$B141+'Emissions Factors'!$E$11*('Calcs - Power'!C141+'Calcs - Power'!D141+'Calcs - Power'!E141+'Calcs - Power'!F141))</f>
        <v>384971.20018288813</v>
      </c>
      <c r="AN142" s="359">
        <f>(102*'Emissions Factors'!$D$10*'Calcs - Power'!$G141+'Emissions Factors'!$D$11*('Calcs - Power'!$H141+'Calcs - Power'!$I141+'Calcs - Power'!$J141+'Calcs - Power'!$K141))</f>
        <v>4369.4130991061111</v>
      </c>
      <c r="AO142" s="366">
        <f>(102*'Emissions Factors'!$D$10*'Calcs - Power'!$B141+'Emissions Factors'!$D$11*('Calcs - Power'!$C141+'Calcs - Power'!$D141+'Calcs - Power'!$E141+'Calcs - Power'!$F141))</f>
        <v>353477.90086365654</v>
      </c>
      <c r="AP142" s="367">
        <f>(102*'Emissions Factors'!$E$10*'Calcs - Power'!$G141+'Emissions Factors'!$E$11*('Calcs - Power'!H141+'Calcs - Power'!I141+'Calcs - Power'!J141+'Calcs - Power'!K141))</f>
        <v>5158.9470452282485</v>
      </c>
      <c r="AQ142" s="366">
        <f>(102*'Emissions Factors'!$E$10*'Calcs - Power'!$B141+'Emissions Factors'!$E$11*('Calcs - Power'!C141+'Calcs - Power'!D141+'Calcs - Power'!E141+'Calcs - Power'!F141))</f>
        <v>384971.20018288813</v>
      </c>
      <c r="AS142" s="357"/>
      <c r="AT142" s="357"/>
      <c r="AU142" s="357"/>
      <c r="AV142" s="357"/>
      <c r="AX142" s="358">
        <f t="shared" si="23"/>
        <v>130</v>
      </c>
      <c r="AY142" s="359">
        <f>(('Methane Leakage'!$G$6/'Methane Leakage'!$G$5)*102*'Emissions Factors'!$F$10*'Calcs - Power'!$G141+'Emissions Factors'!$F$11*('Calcs - Power'!$H141+'Calcs - Power'!$I141+'Calcs - Power'!$J141+'Calcs - Power'!$K141))</f>
        <v>5991927.2868672153</v>
      </c>
      <c r="AZ142" s="366">
        <f>(('Methane Leakage'!$G$6/'Methane Leakage'!$G$5)*102*'Emissions Factors'!$F$10*'Calcs - Power'!$B141+'Emissions Factors'!$F$11*('Calcs - Power'!$C141+'Calcs - Power'!$D141+'Calcs - Power'!$E141+'Calcs - Power'!$F141))</f>
        <v>473399209.74212295</v>
      </c>
      <c r="BA142" s="359">
        <f>(102*'Emissions Factors'!$G$10*'Calcs - Power'!$G141+'Emissions Factors'!$G$11*('Calcs - Power'!H141+'Calcs - Power'!I141+'Calcs - Power'!J141+'Calcs - Power'!K141))</f>
        <v>5957310.8048100071</v>
      </c>
      <c r="BB142" s="366">
        <f>(102*'Emissions Factors'!$G$10*'Calcs - Power'!$B141+'Emissions Factors'!$G$11*('Calcs - Power'!C141+'Calcs - Power'!D141+'Calcs - Power'!E141+'Calcs - Power'!F141))</f>
        <v>443351756.10286826</v>
      </c>
      <c r="BC142" s="359">
        <f>(102*'Emissions Factors'!$F$10*'Calcs - Power'!$G141+'Emissions Factors'!$F$11*('Calcs - Power'!$H141+'Calcs - Power'!$I141+'Calcs - Power'!$J141+'Calcs - Power'!$K141))</f>
        <v>5991927.2868672153</v>
      </c>
      <c r="BD142" s="366">
        <f>(102*'Emissions Factors'!$F$10*'Calcs - Power'!$B141+'Emissions Factors'!$F$11*('Calcs - Power'!$C141+'Calcs - Power'!$D141+'Calcs - Power'!$E141+'Calcs - Power'!$F141))</f>
        <v>473399209.74212295</v>
      </c>
      <c r="BE142" s="359">
        <f>(102*'Emissions Factors'!$G$10*'Calcs - Power'!$G141+'Emissions Factors'!$G$11*('Calcs - Power'!H141+'Calcs - Power'!I141+'Calcs - Power'!J141+'Calcs - Power'!K141))</f>
        <v>5957310.8048100071</v>
      </c>
      <c r="BF142" s="366">
        <f>(102*'Emissions Factors'!$G$10*'Calcs - Power'!$B141+'Emissions Factors'!$G$11*('Calcs - Power'!C141+'Calcs - Power'!D141+'Calcs - Power'!E141+'Calcs - Power'!F141))</f>
        <v>443351756.10286826</v>
      </c>
    </row>
    <row r="143" spans="1:58" x14ac:dyDescent="0.3">
      <c r="A143" s="351">
        <f t="shared" ref="A143:A206" si="30">A142+1</f>
        <v>131</v>
      </c>
      <c r="B143" s="352">
        <f t="shared" si="24"/>
        <v>1</v>
      </c>
      <c r="C143" s="363">
        <f t="shared" si="25"/>
        <v>1</v>
      </c>
      <c r="D143" s="352">
        <f t="shared" si="26"/>
        <v>1</v>
      </c>
      <c r="E143" s="364">
        <f t="shared" si="27"/>
        <v>1</v>
      </c>
      <c r="F143" s="364">
        <f t="shared" si="28"/>
        <v>1</v>
      </c>
      <c r="G143" s="365">
        <f t="shared" si="29"/>
        <v>1</v>
      </c>
      <c r="P143" s="358">
        <f t="shared" ref="P143:P206" si="31">P142+1</f>
        <v>131</v>
      </c>
      <c r="Q143" s="359">
        <f>(('Methane Leakage'!$C$6/'Methane Leakage'!$C$5)*102*'Emissions Factors'!$C$38*'Calcs - Power'!$G142+'Emissions Factors'!$C$37*('Calcs - Power'!$H142+'Calcs - Power'!$I142+'Calcs - Power'!$J142+'Calcs - Power'!$K142))</f>
        <v>31953.179671573635</v>
      </c>
      <c r="R143" s="366">
        <f>(('Methane Leakage'!$C$6/'Methane Leakage'!$C$5)*102*'Emissions Factors'!$C$38*'Calcs - Power'!$B142+'Emissions Factors'!$C$37*('Calcs - Power'!$C142+'Calcs - Power'!$D142+'Calcs - Power'!$E142+'Calcs - Power'!$F142))</f>
        <v>2547208.5923116268</v>
      </c>
      <c r="S143" s="359">
        <f>(('Methane Leakage'!$C$6/'Methane Leakage'!$C$5)*102*'Emissions Factors'!$D$38*'Calcs - Power'!$G142+'Emissions Factors'!$D$37*('Calcs - Power'!$H142+'Calcs - Power'!$I142+'Calcs - Power'!$J142+'Calcs - Power'!$K142))</f>
        <v>31953.179671573635</v>
      </c>
      <c r="T143" s="366">
        <f>(('Methane Leakage'!$C$6/'Methane Leakage'!$C$5)*102*'Emissions Factors'!$D$38*'Calcs - Power'!$B142+'Emissions Factors'!$D$37*('Calcs - Power'!$C142+'Calcs - Power'!$D142+'Calcs - Power'!$E142+'Calcs - Power'!$F142))</f>
        <v>2547208.5923116268</v>
      </c>
      <c r="U143" s="361">
        <f>(102*'Emissions Factors'!$C$36*'Calcs - Power'!$G142+'Emissions Factors'!$C$35*('Calcs - Power'!$H142+'Calcs - Power'!$I142+'Calcs - Power'!$J142+'Calcs - Power'!$K142))</f>
        <v>58249.87747740146</v>
      </c>
      <c r="V143" s="366">
        <f>(102*'Emissions Factors'!$C$36*'Calcs - Power'!$B142+'Emissions Factors'!$C$35*('Calcs - Power'!$C142+'Calcs - Power'!$D142+'Calcs - Power'!$E142+'Calcs - Power'!$F142))</f>
        <v>4357983.3297216501</v>
      </c>
      <c r="W143" s="359">
        <f>(102*'Emissions Factors'!$D$36*'Calcs - Power'!$G142+'Emissions Factors'!$D$35*('Calcs - Power'!$H142+'Calcs - Power'!$I142+'Calcs - Power'!$J142+'Calcs - Power'!$K142))</f>
        <v>58249.87747740146</v>
      </c>
      <c r="X143" s="366">
        <f>(102*'Emissions Factors'!$D$36*'Calcs - Power'!$B142+'Emissions Factors'!$D$35*('Calcs - Power'!$C142+'Calcs - Power'!$D142+'Calcs - Power'!$E142+'Calcs - Power'!$F142))</f>
        <v>4357983.3297216501</v>
      </c>
      <c r="Y143" s="359">
        <f>(102*'Emissions Factors'!$C$38*'Calcs - Power'!$G142+'Emissions Factors'!$C$37*('Calcs - Power'!$H142+'Calcs - Power'!$I142+'Calcs - Power'!$J142+'Calcs - Power'!$K142))</f>
        <v>31953.179671573635</v>
      </c>
      <c r="Z143" s="366">
        <f>(102*'Emissions Factors'!$C$38*'Calcs - Power'!$B142+'Emissions Factors'!$C$37*('Calcs - Power'!$C142+'Calcs - Power'!$D142+'Calcs - Power'!$E142+'Calcs - Power'!$F142))</f>
        <v>2547208.5923116268</v>
      </c>
      <c r="AA143" s="359">
        <f>(102*'Emissions Factors'!$C$36*'Calcs - Power'!$G142+'Emissions Factors'!$C$35*('Calcs - Power'!$H142+'Calcs - Power'!$I142+'Calcs - Power'!$J142+'Calcs - Power'!$K142))</f>
        <v>58249.87747740146</v>
      </c>
      <c r="AB143" s="366">
        <f>(102*'Emissions Factors'!$C$36*'Calcs - Power'!$B142+'Emissions Factors'!$C$35*('Calcs - Power'!$C142+'Calcs - Power'!$D142+'Calcs - Power'!$E142+'Calcs - Power'!$F142))</f>
        <v>4357983.3297216501</v>
      </c>
      <c r="AI143" s="358">
        <f t="shared" ref="AI143:AI206" si="32">AI142+1</f>
        <v>131</v>
      </c>
      <c r="AJ143" s="359">
        <f>(('Methane Leakage'!$G$6/'Methane Leakage'!$G$5)*102*'Emissions Factors'!$D$10*'Calcs - Power'!$G142+'Emissions Factors'!$D$11*('Calcs - Power'!$H142+'Calcs - Power'!$I142+'Calcs - Power'!$J142+'Calcs - Power'!$K142))</f>
        <v>4390.5865254057371</v>
      </c>
      <c r="AK143" s="366">
        <f>(('Methane Leakage'!$G$6/'Methane Leakage'!$G$5)*102*'Emissions Factors'!$D$10*'Calcs - Power'!$B142+'Emissions Factors'!$D$11*('Calcs - Power'!$C142+'Calcs - Power'!$D142+'Calcs - Power'!$E142+'Calcs - Power'!$F142))</f>
        <v>357857.90443089919</v>
      </c>
      <c r="AL143" s="359">
        <f>(102*'Emissions Factors'!$E$10*'Calcs - Power'!$G142+'Emissions Factors'!$E$11*('Calcs - Power'!H142+'Calcs - Power'!I142+'Calcs - Power'!J142+'Calcs - Power'!K142))</f>
        <v>5188.1736937018832</v>
      </c>
      <c r="AM143" s="366">
        <f>(102*'Emissions Factors'!$E$10*'Calcs - Power'!$B142+'Emissions Factors'!$E$11*('Calcs - Power'!C142+'Calcs - Power'!D142+'Calcs - Power'!E142+'Calcs - Power'!F142))</f>
        <v>390144.765726218</v>
      </c>
      <c r="AN143" s="359">
        <f>(102*'Emissions Factors'!$D$10*'Calcs - Power'!$G142+'Emissions Factors'!$D$11*('Calcs - Power'!$H142+'Calcs - Power'!$I142+'Calcs - Power'!$J142+'Calcs - Power'!$K142))</f>
        <v>4390.5865254057371</v>
      </c>
      <c r="AO143" s="366">
        <f>(102*'Emissions Factors'!$D$10*'Calcs - Power'!$B142+'Emissions Factors'!$D$11*('Calcs - Power'!$C142+'Calcs - Power'!$D142+'Calcs - Power'!$E142+'Calcs - Power'!$F142))</f>
        <v>357857.90443089919</v>
      </c>
      <c r="AP143" s="367">
        <f>(102*'Emissions Factors'!$E$10*'Calcs - Power'!$G142+'Emissions Factors'!$E$11*('Calcs - Power'!H142+'Calcs - Power'!I142+'Calcs - Power'!J142+'Calcs - Power'!K142))</f>
        <v>5188.1736937018832</v>
      </c>
      <c r="AQ143" s="366">
        <f>(102*'Emissions Factors'!$E$10*'Calcs - Power'!$B142+'Emissions Factors'!$E$11*('Calcs - Power'!C142+'Calcs - Power'!D142+'Calcs - Power'!E142+'Calcs - Power'!F142))</f>
        <v>390144.765726218</v>
      </c>
      <c r="AS143" s="357"/>
      <c r="AT143" s="357"/>
      <c r="AU143" s="357"/>
      <c r="AV143" s="357"/>
      <c r="AX143" s="358">
        <f t="shared" ref="AX143:AX206" si="33">AX142+1</f>
        <v>131</v>
      </c>
      <c r="AY143" s="359">
        <f>(('Methane Leakage'!$G$6/'Methane Leakage'!$G$5)*102*'Emissions Factors'!$F$10*'Calcs - Power'!$G142+'Emissions Factors'!$F$11*('Calcs - Power'!$H142+'Calcs - Power'!$I142+'Calcs - Power'!$J142+'Calcs - Power'!$K142))</f>
        <v>6022443.3044111794</v>
      </c>
      <c r="AZ143" s="366">
        <f>(('Methane Leakage'!$G$6/'Methane Leakage'!$G$5)*102*'Emissions Factors'!$F$10*'Calcs - Power'!$B142+'Emissions Factors'!$F$11*('Calcs - Power'!$C142+'Calcs - Power'!$D142+'Calcs - Power'!$E142+'Calcs - Power'!$F142))</f>
        <v>479406400.44634259</v>
      </c>
      <c r="BA143" s="359">
        <f>(102*'Emissions Factors'!$G$10*'Calcs - Power'!$G142+'Emissions Factors'!$G$11*('Calcs - Power'!H142+'Calcs - Power'!I142+'Calcs - Power'!J142+'Calcs - Power'!K142))</f>
        <v>5991216.3860315913</v>
      </c>
      <c r="BB143" s="366">
        <f>(102*'Emissions Factors'!$G$10*'Calcs - Power'!$B142+'Emissions Factors'!$G$11*('Calcs - Power'!C142+'Calcs - Power'!D142+'Calcs - Power'!E142+'Calcs - Power'!F142))</f>
        <v>449326025.70015055</v>
      </c>
      <c r="BC143" s="359">
        <f>(102*'Emissions Factors'!$F$10*'Calcs - Power'!$G142+'Emissions Factors'!$F$11*('Calcs - Power'!$H142+'Calcs - Power'!$I142+'Calcs - Power'!$J142+'Calcs - Power'!$K142))</f>
        <v>6022443.3044111794</v>
      </c>
      <c r="BD143" s="366">
        <f>(102*'Emissions Factors'!$F$10*'Calcs - Power'!$B142+'Emissions Factors'!$F$11*('Calcs - Power'!$C142+'Calcs - Power'!$D142+'Calcs - Power'!$E142+'Calcs - Power'!$F142))</f>
        <v>479406400.44634259</v>
      </c>
      <c r="BE143" s="359">
        <f>(102*'Emissions Factors'!$G$10*'Calcs - Power'!$G142+'Emissions Factors'!$G$11*('Calcs - Power'!H142+'Calcs - Power'!I142+'Calcs - Power'!J142+'Calcs - Power'!K142))</f>
        <v>5991216.3860315913</v>
      </c>
      <c r="BF143" s="366">
        <f>(102*'Emissions Factors'!$G$10*'Calcs - Power'!$B142+'Emissions Factors'!$G$11*('Calcs - Power'!C142+'Calcs - Power'!D142+'Calcs - Power'!E142+'Calcs - Power'!F142))</f>
        <v>449326025.70015055</v>
      </c>
    </row>
    <row r="144" spans="1:58" x14ac:dyDescent="0.3">
      <c r="A144" s="351">
        <f t="shared" si="30"/>
        <v>132</v>
      </c>
      <c r="B144" s="352">
        <f t="shared" si="24"/>
        <v>1</v>
      </c>
      <c r="C144" s="363">
        <f t="shared" si="25"/>
        <v>1</v>
      </c>
      <c r="D144" s="352">
        <f t="shared" si="26"/>
        <v>1</v>
      </c>
      <c r="E144" s="364">
        <f t="shared" si="27"/>
        <v>1</v>
      </c>
      <c r="F144" s="364">
        <f t="shared" si="28"/>
        <v>1</v>
      </c>
      <c r="G144" s="365">
        <f t="shared" si="29"/>
        <v>1</v>
      </c>
      <c r="P144" s="358">
        <f t="shared" si="31"/>
        <v>132</v>
      </c>
      <c r="Q144" s="359">
        <f>(('Methane Leakage'!$C$6/'Methane Leakage'!$C$5)*102*'Emissions Factors'!$C$38*'Calcs - Power'!$G143+'Emissions Factors'!$C$37*('Calcs - Power'!$H143+'Calcs - Power'!$I143+'Calcs - Power'!$J143+'Calcs - Power'!$K143))</f>
        <v>32114.279143352196</v>
      </c>
      <c r="R144" s="366">
        <f>(('Methane Leakage'!$C$6/'Methane Leakage'!$C$5)*102*'Emissions Factors'!$C$38*'Calcs - Power'!$B143+'Emissions Factors'!$C$37*('Calcs - Power'!$C143+'Calcs - Power'!$D143+'Calcs - Power'!$E143+'Calcs - Power'!$F143))</f>
        <v>2579242.3501358754</v>
      </c>
      <c r="S144" s="359">
        <f>(('Methane Leakage'!$C$6/'Methane Leakage'!$C$5)*102*'Emissions Factors'!$D$38*'Calcs - Power'!$G143+'Emissions Factors'!$D$37*('Calcs - Power'!$H143+'Calcs - Power'!$I143+'Calcs - Power'!$J143+'Calcs - Power'!$K143))</f>
        <v>32114.279143352196</v>
      </c>
      <c r="T144" s="366">
        <f>(('Methane Leakage'!$C$6/'Methane Leakage'!$C$5)*102*'Emissions Factors'!$D$38*'Calcs - Power'!$B143+'Emissions Factors'!$D$37*('Calcs - Power'!$C143+'Calcs - Power'!$D143+'Calcs - Power'!$E143+'Calcs - Power'!$F143))</f>
        <v>2579242.3501358754</v>
      </c>
      <c r="U144" s="361">
        <f>(102*'Emissions Factors'!$C$36*'Calcs - Power'!$G143+'Emissions Factors'!$C$35*('Calcs - Power'!$H143+'Calcs - Power'!$I143+'Calcs - Power'!$J143+'Calcs - Power'!$K143))</f>
        <v>58580.189411930631</v>
      </c>
      <c r="V144" s="366">
        <f>(102*'Emissions Factors'!$C$36*'Calcs - Power'!$B143+'Emissions Factors'!$C$35*('Calcs - Power'!$C143+'Calcs - Power'!$D143+'Calcs - Power'!$E143+'Calcs - Power'!$F143))</f>
        <v>4416398.4213595726</v>
      </c>
      <c r="W144" s="359">
        <f>(102*'Emissions Factors'!$D$36*'Calcs - Power'!$G143+'Emissions Factors'!$D$35*('Calcs - Power'!$H143+'Calcs - Power'!$I143+'Calcs - Power'!$J143+'Calcs - Power'!$K143))</f>
        <v>58580.189411930631</v>
      </c>
      <c r="X144" s="366">
        <f>(102*'Emissions Factors'!$D$36*'Calcs - Power'!$B143+'Emissions Factors'!$D$35*('Calcs - Power'!$C143+'Calcs - Power'!$D143+'Calcs - Power'!$E143+'Calcs - Power'!$F143))</f>
        <v>4416398.4213595726</v>
      </c>
      <c r="Y144" s="359">
        <f>(102*'Emissions Factors'!$C$38*'Calcs - Power'!$G143+'Emissions Factors'!$C$37*('Calcs - Power'!$H143+'Calcs - Power'!$I143+'Calcs - Power'!$J143+'Calcs - Power'!$K143))</f>
        <v>32114.279143352196</v>
      </c>
      <c r="Z144" s="366">
        <f>(102*'Emissions Factors'!$C$38*'Calcs - Power'!$B143+'Emissions Factors'!$C$37*('Calcs - Power'!$C143+'Calcs - Power'!$D143+'Calcs - Power'!$E143+'Calcs - Power'!$F143))</f>
        <v>2579242.3501358754</v>
      </c>
      <c r="AA144" s="359">
        <f>(102*'Emissions Factors'!$C$36*'Calcs - Power'!$G143+'Emissions Factors'!$C$35*('Calcs - Power'!$H143+'Calcs - Power'!$I143+'Calcs - Power'!$J143+'Calcs - Power'!$K143))</f>
        <v>58580.189411930631</v>
      </c>
      <c r="AB144" s="366">
        <f>(102*'Emissions Factors'!$C$36*'Calcs - Power'!$B143+'Emissions Factors'!$C$35*('Calcs - Power'!$C143+'Calcs - Power'!$D143+'Calcs - Power'!$E143+'Calcs - Power'!$F143))</f>
        <v>4416398.4213595726</v>
      </c>
      <c r="AI144" s="358">
        <f t="shared" si="32"/>
        <v>132</v>
      </c>
      <c r="AJ144" s="359">
        <f>(('Methane Leakage'!$G$6/'Methane Leakage'!$G$5)*102*'Emissions Factors'!$D$10*'Calcs - Power'!$G143+'Emissions Factors'!$D$11*('Calcs - Power'!$H143+'Calcs - Power'!$I143+'Calcs - Power'!$J143+'Calcs - Power'!$K143))</f>
        <v>4411.7150488150983</v>
      </c>
      <c r="AK144" s="366">
        <f>(('Methane Leakage'!$G$6/'Methane Leakage'!$G$5)*102*'Emissions Factors'!$D$10*'Calcs - Power'!$B143+'Emissions Factors'!$D$11*('Calcs - Power'!$C143+'Calcs - Power'!$D143+'Calcs - Power'!$E143+'Calcs - Power'!$F143))</f>
        <v>362259.05894689256</v>
      </c>
      <c r="AL144" s="359">
        <f>(102*'Emissions Factors'!$E$10*'Calcs - Power'!$G143+'Emissions Factors'!$E$11*('Calcs - Power'!H143+'Calcs - Power'!I143+'Calcs - Power'!J143+'Calcs - Power'!K143))</f>
        <v>5217.3384678169741</v>
      </c>
      <c r="AM144" s="366">
        <f>(102*'Emissions Factors'!$E$10*'Calcs - Power'!$B143+'Emissions Factors'!$E$11*('Calcs - Power'!C143+'Calcs - Power'!D143+'Calcs - Power'!E143+'Calcs - Power'!F143))</f>
        <v>395347.52694557258</v>
      </c>
      <c r="AN144" s="359">
        <f>(102*'Emissions Factors'!$D$10*'Calcs - Power'!$G143+'Emissions Factors'!$D$11*('Calcs - Power'!$H143+'Calcs - Power'!$I143+'Calcs - Power'!$J143+'Calcs - Power'!$K143))</f>
        <v>4411.7150488150983</v>
      </c>
      <c r="AO144" s="366">
        <f>(102*'Emissions Factors'!$D$10*'Calcs - Power'!$B143+'Emissions Factors'!$D$11*('Calcs - Power'!$C143+'Calcs - Power'!$D143+'Calcs - Power'!$E143+'Calcs - Power'!$F143))</f>
        <v>362259.05894689256</v>
      </c>
      <c r="AP144" s="367">
        <f>(102*'Emissions Factors'!$E$10*'Calcs - Power'!$G143+'Emissions Factors'!$E$11*('Calcs - Power'!H143+'Calcs - Power'!I143+'Calcs - Power'!J143+'Calcs - Power'!K143))</f>
        <v>5217.3384678169741</v>
      </c>
      <c r="AQ144" s="366">
        <f>(102*'Emissions Factors'!$E$10*'Calcs - Power'!$B143+'Emissions Factors'!$E$11*('Calcs - Power'!C143+'Calcs - Power'!D143+'Calcs - Power'!E143+'Calcs - Power'!F143))</f>
        <v>395347.52694557258</v>
      </c>
      <c r="AS144" s="357"/>
      <c r="AT144" s="357"/>
      <c r="AU144" s="357"/>
      <c r="AV144" s="357"/>
      <c r="AX144" s="358">
        <f t="shared" si="33"/>
        <v>132</v>
      </c>
      <c r="AY144" s="359">
        <f>(('Methane Leakage'!$G$6/'Methane Leakage'!$G$5)*102*'Emissions Factors'!$F$10*'Calcs - Power'!$G143+'Emissions Factors'!$F$11*('Calcs - Power'!$H143+'Calcs - Power'!$I143+'Calcs - Power'!$J143+'Calcs - Power'!$K143))</f>
        <v>6052894.6435724925</v>
      </c>
      <c r="AZ144" s="366">
        <f>(('Methane Leakage'!$G$6/'Methane Leakage'!$G$5)*102*'Emissions Factors'!$F$10*'Calcs - Power'!$B143+'Emissions Factors'!$F$11*('Calcs - Power'!$C143+'Calcs - Power'!$D143+'Calcs - Power'!$E143+'Calcs - Power'!$F143))</f>
        <v>485444074.79156005</v>
      </c>
      <c r="BA144" s="359">
        <f>(102*'Emissions Factors'!$G$10*'Calcs - Power'!$G143+'Emissions Factors'!$G$11*('Calcs - Power'!H143+'Calcs - Power'!I143+'Calcs - Power'!J143+'Calcs - Power'!K143))</f>
        <v>6025050.1907295585</v>
      </c>
      <c r="BB144" s="366">
        <f>(102*'Emissions Factors'!$G$10*'Calcs - Power'!$B143+'Emissions Factors'!$G$11*('Calcs - Power'!C143+'Calcs - Power'!D143+'Calcs - Power'!E143+'Calcs - Power'!F143))</f>
        <v>455334164.94950086</v>
      </c>
      <c r="BC144" s="359">
        <f>(102*'Emissions Factors'!$F$10*'Calcs - Power'!$G143+'Emissions Factors'!$F$11*('Calcs - Power'!$H143+'Calcs - Power'!$I143+'Calcs - Power'!$J143+'Calcs - Power'!$K143))</f>
        <v>6052894.6435724925</v>
      </c>
      <c r="BD144" s="366">
        <f>(102*'Emissions Factors'!$F$10*'Calcs - Power'!$B143+'Emissions Factors'!$F$11*('Calcs - Power'!$C143+'Calcs - Power'!$D143+'Calcs - Power'!$E143+'Calcs - Power'!$F143))</f>
        <v>485444074.79156005</v>
      </c>
      <c r="BE144" s="359">
        <f>(102*'Emissions Factors'!$G$10*'Calcs - Power'!$G143+'Emissions Factors'!$G$11*('Calcs - Power'!H143+'Calcs - Power'!I143+'Calcs - Power'!J143+'Calcs - Power'!K143))</f>
        <v>6025050.1907295585</v>
      </c>
      <c r="BF144" s="366">
        <f>(102*'Emissions Factors'!$G$10*'Calcs - Power'!$B143+'Emissions Factors'!$G$11*('Calcs - Power'!C143+'Calcs - Power'!D143+'Calcs - Power'!E143+'Calcs - Power'!F143))</f>
        <v>455334164.94950086</v>
      </c>
    </row>
    <row r="145" spans="1:58" x14ac:dyDescent="0.3">
      <c r="A145" s="351">
        <f t="shared" si="30"/>
        <v>133</v>
      </c>
      <c r="B145" s="352">
        <f t="shared" si="24"/>
        <v>1</v>
      </c>
      <c r="C145" s="363">
        <f t="shared" si="25"/>
        <v>0.99999999999999978</v>
      </c>
      <c r="D145" s="352">
        <f t="shared" si="26"/>
        <v>1</v>
      </c>
      <c r="E145" s="364">
        <f t="shared" si="27"/>
        <v>1</v>
      </c>
      <c r="F145" s="364">
        <f t="shared" si="28"/>
        <v>1</v>
      </c>
      <c r="G145" s="365">
        <f t="shared" si="29"/>
        <v>1</v>
      </c>
      <c r="P145" s="358">
        <f t="shared" si="31"/>
        <v>133</v>
      </c>
      <c r="Q145" s="359">
        <f>(('Methane Leakage'!$C$6/'Methane Leakage'!$C$5)*102*'Emissions Factors'!$C$38*'Calcs - Power'!$G144+'Emissions Factors'!$C$37*('Calcs - Power'!$H144+'Calcs - Power'!$I144+'Calcs - Power'!$J144+'Calcs - Power'!$K144))</f>
        <v>32275.038784524699</v>
      </c>
      <c r="R145" s="366">
        <f>(('Methane Leakage'!$C$6/'Methane Leakage'!$C$5)*102*'Emissions Factors'!$C$38*'Calcs - Power'!$B144+'Emissions Factors'!$C$37*('Calcs - Power'!$C144+'Calcs - Power'!$D144+'Calcs - Power'!$E144+'Calcs - Power'!$F144))</f>
        <v>2611437.0373218474</v>
      </c>
      <c r="S145" s="359">
        <f>(('Methane Leakage'!$C$6/'Methane Leakage'!$C$5)*102*'Emissions Factors'!$D$38*'Calcs - Power'!$G144+'Emissions Factors'!$D$37*('Calcs - Power'!$H144+'Calcs - Power'!$I144+'Calcs - Power'!$J144+'Calcs - Power'!$K144))</f>
        <v>32275.038784524699</v>
      </c>
      <c r="T145" s="366">
        <f>(('Methane Leakage'!$C$6/'Methane Leakage'!$C$5)*102*'Emissions Factors'!$D$38*'Calcs - Power'!$B144+'Emissions Factors'!$D$37*('Calcs - Power'!$C144+'Calcs - Power'!$D144+'Calcs - Power'!$E144+'Calcs - Power'!$F144))</f>
        <v>2611437.0373218474</v>
      </c>
      <c r="U145" s="361">
        <f>(102*'Emissions Factors'!$C$36*'Calcs - Power'!$G144+'Emissions Factors'!$C$35*('Calcs - Power'!$H144+'Calcs - Power'!$I144+'Calcs - Power'!$J144+'Calcs - Power'!$K144))</f>
        <v>58909.805392525581</v>
      </c>
      <c r="V145" s="366">
        <f>(102*'Emissions Factors'!$C$36*'Calcs - Power'!$B144+'Emissions Factors'!$C$35*('Calcs - Power'!$C144+'Calcs - Power'!$D144+'Calcs - Power'!$E144+'Calcs - Power'!$F144))</f>
        <v>4475143.4765615901</v>
      </c>
      <c r="W145" s="359">
        <f>(102*'Emissions Factors'!$D$36*'Calcs - Power'!$G144+'Emissions Factors'!$D$35*('Calcs - Power'!$H144+'Calcs - Power'!$I144+'Calcs - Power'!$J144+'Calcs - Power'!$K144))</f>
        <v>58909.805392525581</v>
      </c>
      <c r="X145" s="366">
        <f>(102*'Emissions Factors'!$D$36*'Calcs - Power'!$B144+'Emissions Factors'!$D$35*('Calcs - Power'!$C144+'Calcs - Power'!$D144+'Calcs - Power'!$E144+'Calcs - Power'!$F144))</f>
        <v>4475143.4765615901</v>
      </c>
      <c r="Y145" s="359">
        <f>(102*'Emissions Factors'!$C$38*'Calcs - Power'!$G144+'Emissions Factors'!$C$37*('Calcs - Power'!$H144+'Calcs - Power'!$I144+'Calcs - Power'!$J144+'Calcs - Power'!$K144))</f>
        <v>32275.038784524699</v>
      </c>
      <c r="Z145" s="366">
        <f>(102*'Emissions Factors'!$C$38*'Calcs - Power'!$B144+'Emissions Factors'!$C$37*('Calcs - Power'!$C144+'Calcs - Power'!$D144+'Calcs - Power'!$E144+'Calcs - Power'!$F144))</f>
        <v>2611437.0373218474</v>
      </c>
      <c r="AA145" s="359">
        <f>(102*'Emissions Factors'!$C$36*'Calcs - Power'!$G144+'Emissions Factors'!$C$35*('Calcs - Power'!$H144+'Calcs - Power'!$I144+'Calcs - Power'!$J144+'Calcs - Power'!$K144))</f>
        <v>58909.805392525581</v>
      </c>
      <c r="AB145" s="366">
        <f>(102*'Emissions Factors'!$C$36*'Calcs - Power'!$B144+'Emissions Factors'!$C$35*('Calcs - Power'!$C144+'Calcs - Power'!$D144+'Calcs - Power'!$E144+'Calcs - Power'!$F144))</f>
        <v>4475143.4765615901</v>
      </c>
      <c r="AI145" s="358">
        <f t="shared" si="32"/>
        <v>133</v>
      </c>
      <c r="AJ145" s="359">
        <f>(('Methane Leakage'!$G$6/'Methane Leakage'!$G$5)*102*'Emissions Factors'!$D$10*'Calcs - Power'!$G144+'Emissions Factors'!$D$11*('Calcs - Power'!$H144+'Calcs - Power'!$I144+'Calcs - Power'!$J144+'Calcs - Power'!$K144))</f>
        <v>4432.7989801600324</v>
      </c>
      <c r="AK145" s="366">
        <f>(('Methane Leakage'!$G$6/'Methane Leakage'!$G$5)*102*'Emissions Factors'!$D$10*'Calcs - Power'!$B144+'Emissions Factors'!$D$11*('Calcs - Power'!$C144+'Calcs - Power'!$D144+'Calcs - Power'!$E144+'Calcs - Power'!$F144))</f>
        <v>366681.31966456014</v>
      </c>
      <c r="AL145" s="359">
        <f>(102*'Emissions Factors'!$E$10*'Calcs - Power'!$G144+'Emissions Factors'!$E$11*('Calcs - Power'!H144+'Calcs - Power'!I144+'Calcs - Power'!J144+'Calcs - Power'!K144))</f>
        <v>5246.4417878398481</v>
      </c>
      <c r="AM145" s="366">
        <f>(102*'Emissions Factors'!$E$10*'Calcs - Power'!$B144+'Emissions Factors'!$E$11*('Calcs - Power'!C144+'Calcs - Power'!D144+'Calcs - Power'!E144+'Calcs - Power'!F144))</f>
        <v>400579.42217721883</v>
      </c>
      <c r="AN145" s="359">
        <f>(102*'Emissions Factors'!$D$10*'Calcs - Power'!$G144+'Emissions Factors'!$D$11*('Calcs - Power'!$H144+'Calcs - Power'!$I144+'Calcs - Power'!$J144+'Calcs - Power'!$K144))</f>
        <v>4432.7989801600324</v>
      </c>
      <c r="AO145" s="366">
        <f>(102*'Emissions Factors'!$D$10*'Calcs - Power'!$B144+'Emissions Factors'!$D$11*('Calcs - Power'!$C144+'Calcs - Power'!$D144+'Calcs - Power'!$E144+'Calcs - Power'!$F144))</f>
        <v>366681.31966456014</v>
      </c>
      <c r="AP145" s="367">
        <f>(102*'Emissions Factors'!$E$10*'Calcs - Power'!$G144+'Emissions Factors'!$E$11*('Calcs - Power'!H144+'Calcs - Power'!I144+'Calcs - Power'!J144+'Calcs - Power'!K144))</f>
        <v>5246.4417878398481</v>
      </c>
      <c r="AQ145" s="366">
        <f>(102*'Emissions Factors'!$E$10*'Calcs - Power'!$B144+'Emissions Factors'!$E$11*('Calcs - Power'!C144+'Calcs - Power'!D144+'Calcs - Power'!E144+'Calcs - Power'!F144))</f>
        <v>400579.42217721883</v>
      </c>
      <c r="AS145" s="357"/>
      <c r="AT145" s="357"/>
      <c r="AU145" s="357"/>
      <c r="AV145" s="357"/>
      <c r="AX145" s="358">
        <f t="shared" si="33"/>
        <v>133</v>
      </c>
      <c r="AY145" s="359">
        <f>(('Methane Leakage'!$G$6/'Methane Leakage'!$G$5)*102*'Emissions Factors'!$F$10*'Calcs - Power'!$G144+'Emissions Factors'!$F$11*('Calcs - Power'!$H144+'Calcs - Power'!$I144+'Calcs - Power'!$J144+'Calcs - Power'!$K144))</f>
        <v>6083281.749251646</v>
      </c>
      <c r="AZ145" s="366">
        <f>(('Methane Leakage'!$G$6/'Methane Leakage'!$G$5)*102*'Emissions Factors'!$F$10*'Calcs - Power'!$B144+'Emissions Factors'!$F$11*('Calcs - Power'!$C144+'Calcs - Power'!$D144+'Calcs - Power'!$E144+'Calcs - Power'!$F144))</f>
        <v>491512168.32239938</v>
      </c>
      <c r="BA145" s="359">
        <f>(102*'Emissions Factors'!$G$10*'Calcs - Power'!$G144+'Emissions Factors'!$G$11*('Calcs - Power'!H144+'Calcs - Power'!I144+'Calcs - Power'!J144+'Calcs - Power'!K144))</f>
        <v>6058812.7061740318</v>
      </c>
      <c r="BB145" s="366">
        <f>(102*'Emissions Factors'!$G$10*'Calcs - Power'!$B144+'Emissions Factors'!$G$11*('Calcs - Power'!C144+'Calcs - Power'!D144+'Calcs - Power'!E144+'Calcs - Power'!F144))</f>
        <v>461376102.31859958</v>
      </c>
      <c r="BC145" s="359">
        <f>(102*'Emissions Factors'!$F$10*'Calcs - Power'!$G144+'Emissions Factors'!$F$11*('Calcs - Power'!$H144+'Calcs - Power'!$I144+'Calcs - Power'!$J144+'Calcs - Power'!$K144))</f>
        <v>6083281.749251646</v>
      </c>
      <c r="BD145" s="366">
        <f>(102*'Emissions Factors'!$F$10*'Calcs - Power'!$B144+'Emissions Factors'!$F$11*('Calcs - Power'!$C144+'Calcs - Power'!$D144+'Calcs - Power'!$E144+'Calcs - Power'!$F144))</f>
        <v>491512168.32239938</v>
      </c>
      <c r="BE145" s="359">
        <f>(102*'Emissions Factors'!$G$10*'Calcs - Power'!$G144+'Emissions Factors'!$G$11*('Calcs - Power'!H144+'Calcs - Power'!I144+'Calcs - Power'!J144+'Calcs - Power'!K144))</f>
        <v>6058812.7061740318</v>
      </c>
      <c r="BF145" s="366">
        <f>(102*'Emissions Factors'!$G$10*'Calcs - Power'!$B144+'Emissions Factors'!$G$11*('Calcs - Power'!C144+'Calcs - Power'!D144+'Calcs - Power'!E144+'Calcs - Power'!F144))</f>
        <v>461376102.31859958</v>
      </c>
    </row>
    <row r="146" spans="1:58" x14ac:dyDescent="0.3">
      <c r="A146" s="351">
        <f t="shared" si="30"/>
        <v>134</v>
      </c>
      <c r="B146" s="352">
        <f t="shared" si="24"/>
        <v>1</v>
      </c>
      <c r="C146" s="363">
        <f t="shared" si="25"/>
        <v>1</v>
      </c>
      <c r="D146" s="352">
        <f t="shared" si="26"/>
        <v>1</v>
      </c>
      <c r="E146" s="364">
        <f t="shared" si="27"/>
        <v>1</v>
      </c>
      <c r="F146" s="364">
        <f t="shared" si="28"/>
        <v>1</v>
      </c>
      <c r="G146" s="365">
        <f t="shared" si="29"/>
        <v>1</v>
      </c>
      <c r="P146" s="358">
        <f t="shared" si="31"/>
        <v>134</v>
      </c>
      <c r="Q146" s="359">
        <f>(('Methane Leakage'!$C$6/'Methane Leakage'!$C$5)*102*'Emissions Factors'!$C$38*'Calcs - Power'!$G145+'Emissions Factors'!$C$37*('Calcs - Power'!$H145+'Calcs - Power'!$I145+'Calcs - Power'!$J145+'Calcs - Power'!$K145))</f>
        <v>32435.46091505959</v>
      </c>
      <c r="R146" s="366">
        <f>(('Methane Leakage'!$C$6/'Methane Leakage'!$C$5)*102*'Emissions Factors'!$C$38*'Calcs - Power'!$B145+'Emissions Factors'!$C$37*('Calcs - Power'!$C145+'Calcs - Power'!$D145+'Calcs - Power'!$E145+'Calcs - Power'!$F145))</f>
        <v>2643792.3152017491</v>
      </c>
      <c r="S146" s="359">
        <f>(('Methane Leakage'!$C$6/'Methane Leakage'!$C$5)*102*'Emissions Factors'!$D$38*'Calcs - Power'!$G145+'Emissions Factors'!$D$37*('Calcs - Power'!$H145+'Calcs - Power'!$I145+'Calcs - Power'!$J145+'Calcs - Power'!$K145))</f>
        <v>32435.46091505959</v>
      </c>
      <c r="T146" s="366">
        <f>(('Methane Leakage'!$C$6/'Methane Leakage'!$C$5)*102*'Emissions Factors'!$D$38*'Calcs - Power'!$B145+'Emissions Factors'!$D$37*('Calcs - Power'!$C145+'Calcs - Power'!$D145+'Calcs - Power'!$E145+'Calcs - Power'!$F145))</f>
        <v>2643792.3152017491</v>
      </c>
      <c r="U146" s="361">
        <f>(102*'Emissions Factors'!$C$36*'Calcs - Power'!$G145+'Emissions Factors'!$C$35*('Calcs - Power'!$H145+'Calcs - Power'!$I145+'Calcs - Power'!$J145+'Calcs - Power'!$K145))</f>
        <v>59238.730108670898</v>
      </c>
      <c r="V146" s="366">
        <f>(102*'Emissions Factors'!$C$36*'Calcs - Power'!$B145+'Emissions Factors'!$C$35*('Calcs - Power'!$C145+'Calcs - Power'!$D145+'Calcs - Power'!$E145+'Calcs - Power'!$F145))</f>
        <v>4534217.8017238397</v>
      </c>
      <c r="W146" s="359">
        <f>(102*'Emissions Factors'!$D$36*'Calcs - Power'!$G145+'Emissions Factors'!$D$35*('Calcs - Power'!$H145+'Calcs - Power'!$I145+'Calcs - Power'!$J145+'Calcs - Power'!$K145))</f>
        <v>59238.730108670898</v>
      </c>
      <c r="X146" s="366">
        <f>(102*'Emissions Factors'!$D$36*'Calcs - Power'!$B145+'Emissions Factors'!$D$35*('Calcs - Power'!$C145+'Calcs - Power'!$D145+'Calcs - Power'!$E145+'Calcs - Power'!$F145))</f>
        <v>4534217.8017238397</v>
      </c>
      <c r="Y146" s="359">
        <f>(102*'Emissions Factors'!$C$38*'Calcs - Power'!$G145+'Emissions Factors'!$C$37*('Calcs - Power'!$H145+'Calcs - Power'!$I145+'Calcs - Power'!$J145+'Calcs - Power'!$K145))</f>
        <v>32435.46091505959</v>
      </c>
      <c r="Z146" s="366">
        <f>(102*'Emissions Factors'!$C$38*'Calcs - Power'!$B145+'Emissions Factors'!$C$37*('Calcs - Power'!$C145+'Calcs - Power'!$D145+'Calcs - Power'!$E145+'Calcs - Power'!$F145))</f>
        <v>2643792.3152017491</v>
      </c>
      <c r="AA146" s="359">
        <f>(102*'Emissions Factors'!$C$36*'Calcs - Power'!$G145+'Emissions Factors'!$C$35*('Calcs - Power'!$H145+'Calcs - Power'!$I145+'Calcs - Power'!$J145+'Calcs - Power'!$K145))</f>
        <v>59238.730108670898</v>
      </c>
      <c r="AB146" s="366">
        <f>(102*'Emissions Factors'!$C$36*'Calcs - Power'!$B145+'Emissions Factors'!$C$35*('Calcs - Power'!$C145+'Calcs - Power'!$D145+'Calcs - Power'!$E145+'Calcs - Power'!$F145))</f>
        <v>4534217.8017238397</v>
      </c>
      <c r="AI146" s="358">
        <f t="shared" si="32"/>
        <v>134</v>
      </c>
      <c r="AJ146" s="359">
        <f>(('Methane Leakage'!$G$6/'Methane Leakage'!$G$5)*102*'Emissions Factors'!$D$10*'Calcs - Power'!$G145+'Emissions Factors'!$D$11*('Calcs - Power'!$H145+'Calcs - Power'!$I145+'Calcs - Power'!$J145+'Calcs - Power'!$K145))</f>
        <v>4453.8386255600162</v>
      </c>
      <c r="AK146" s="366">
        <f>(('Methane Leakage'!$G$6/'Methane Leakage'!$G$5)*102*'Emissions Factors'!$D$10*'Calcs - Power'!$B145+'Emissions Factors'!$D$11*('Calcs - Power'!$C145+'Calcs - Power'!$D145+'Calcs - Power'!$E145+'Calcs - Power'!$F145))</f>
        <v>371124.64214528108</v>
      </c>
      <c r="AL146" s="359">
        <f>(102*'Emissions Factors'!$E$10*'Calcs - Power'!$G145+'Emissions Factors'!$E$11*('Calcs - Power'!H145+'Calcs - Power'!I145+'Calcs - Power'!J145+'Calcs - Power'!K145))</f>
        <v>5275.4840682438053</v>
      </c>
      <c r="AM146" s="366">
        <f>(102*'Emissions Factors'!$E$10*'Calcs - Power'!$B145+'Emissions Factors'!$E$11*('Calcs - Power'!C145+'Calcs - Power'!D145+'Calcs - Power'!E145+'Calcs - Power'!F145))</f>
        <v>405840.3901747748</v>
      </c>
      <c r="AN146" s="359">
        <f>(102*'Emissions Factors'!$D$10*'Calcs - Power'!$G145+'Emissions Factors'!$D$11*('Calcs - Power'!$H145+'Calcs - Power'!$I145+'Calcs - Power'!$J145+'Calcs - Power'!$K145))</f>
        <v>4453.8386255600162</v>
      </c>
      <c r="AO146" s="366">
        <f>(102*'Emissions Factors'!$D$10*'Calcs - Power'!$B145+'Emissions Factors'!$D$11*('Calcs - Power'!$C145+'Calcs - Power'!$D145+'Calcs - Power'!$E145+'Calcs - Power'!$F145))</f>
        <v>371124.64214528108</v>
      </c>
      <c r="AP146" s="367">
        <f>(102*'Emissions Factors'!$E$10*'Calcs - Power'!$G145+'Emissions Factors'!$E$11*('Calcs - Power'!H145+'Calcs - Power'!I145+'Calcs - Power'!J145+'Calcs - Power'!K145))</f>
        <v>5275.4840682438053</v>
      </c>
      <c r="AQ146" s="366">
        <f>(102*'Emissions Factors'!$E$10*'Calcs - Power'!$B145+'Emissions Factors'!$E$11*('Calcs - Power'!C145+'Calcs - Power'!D145+'Calcs - Power'!E145+'Calcs - Power'!F145))</f>
        <v>405840.3901747748</v>
      </c>
      <c r="AS146" s="357"/>
      <c r="AT146" s="357"/>
      <c r="AU146" s="357"/>
      <c r="AV146" s="357"/>
      <c r="AX146" s="358">
        <f t="shared" si="33"/>
        <v>134</v>
      </c>
      <c r="AY146" s="359">
        <f>(('Methane Leakage'!$G$6/'Methane Leakage'!$G$5)*102*'Emissions Factors'!$F$10*'Calcs - Power'!$G145+'Emissions Factors'!$F$11*('Calcs - Power'!$H145+'Calcs - Power'!$I145+'Calcs - Power'!$J145+'Calcs - Power'!$K145))</f>
        <v>6113605.0598124107</v>
      </c>
      <c r="AZ146" s="366">
        <f>(('Methane Leakage'!$G$6/'Methane Leakage'!$G$5)*102*'Emissions Factors'!$F$10*'Calcs - Power'!$B145+'Emissions Factors'!$F$11*('Calcs - Power'!$C145+'Calcs - Power'!$D145+'Calcs - Power'!$E145+'Calcs - Power'!$F145))</f>
        <v>497610617.02509373</v>
      </c>
      <c r="BA146" s="359">
        <f>(102*'Emissions Factors'!$G$10*'Calcs - Power'!$G145+'Emissions Factors'!$G$11*('Calcs - Power'!H145+'Calcs - Power'!I145+'Calcs - Power'!J145+'Calcs - Power'!K145))</f>
        <v>6092504.412936897</v>
      </c>
      <c r="BB146" s="366">
        <f>(102*'Emissions Factors'!$G$10*'Calcs - Power'!$B145+'Emissions Factors'!$G$11*('Calcs - Power'!C145+'Calcs - Power'!D145+'Calcs - Power'!E145+'Calcs - Power'!F145))</f>
        <v>467451766.75902683</v>
      </c>
      <c r="BC146" s="359">
        <f>(102*'Emissions Factors'!$F$10*'Calcs - Power'!$G145+'Emissions Factors'!$F$11*('Calcs - Power'!$H145+'Calcs - Power'!$I145+'Calcs - Power'!$J145+'Calcs - Power'!$K145))</f>
        <v>6113605.0598124107</v>
      </c>
      <c r="BD146" s="366">
        <f>(102*'Emissions Factors'!$F$10*'Calcs - Power'!$B145+'Emissions Factors'!$F$11*('Calcs - Power'!$C145+'Calcs - Power'!$D145+'Calcs - Power'!$E145+'Calcs - Power'!$F145))</f>
        <v>497610617.02509373</v>
      </c>
      <c r="BE146" s="359">
        <f>(102*'Emissions Factors'!$G$10*'Calcs - Power'!$G145+'Emissions Factors'!$G$11*('Calcs - Power'!H145+'Calcs - Power'!I145+'Calcs - Power'!J145+'Calcs - Power'!K145))</f>
        <v>6092504.412936897</v>
      </c>
      <c r="BF146" s="366">
        <f>(102*'Emissions Factors'!$G$10*'Calcs - Power'!$B145+'Emissions Factors'!$G$11*('Calcs - Power'!C145+'Calcs - Power'!D145+'Calcs - Power'!E145+'Calcs - Power'!F145))</f>
        <v>467451766.75902683</v>
      </c>
    </row>
    <row r="147" spans="1:58" x14ac:dyDescent="0.3">
      <c r="A147" s="351">
        <f t="shared" si="30"/>
        <v>135</v>
      </c>
      <c r="B147" s="352">
        <f t="shared" si="24"/>
        <v>1</v>
      </c>
      <c r="C147" s="363">
        <f t="shared" si="25"/>
        <v>1</v>
      </c>
      <c r="D147" s="352">
        <f t="shared" si="26"/>
        <v>1</v>
      </c>
      <c r="E147" s="364">
        <f t="shared" si="27"/>
        <v>1</v>
      </c>
      <c r="F147" s="364">
        <f t="shared" si="28"/>
        <v>1</v>
      </c>
      <c r="G147" s="365">
        <f t="shared" si="29"/>
        <v>1</v>
      </c>
      <c r="P147" s="358">
        <f t="shared" si="31"/>
        <v>135</v>
      </c>
      <c r="Q147" s="359">
        <f>(('Methane Leakage'!$C$6/'Methane Leakage'!$C$5)*102*'Emissions Factors'!$C$38*'Calcs - Power'!$G146+'Emissions Factors'!$C$37*('Calcs - Power'!$H146+'Calcs - Power'!$I146+'Calcs - Power'!$J146+'Calcs - Power'!$K146))</f>
        <v>32595.547821659708</v>
      </c>
      <c r="R147" s="366">
        <f>(('Methane Leakage'!$C$6/'Methane Leakage'!$C$5)*102*'Emissions Factors'!$C$38*'Calcs - Power'!$B146+'Emissions Factors'!$C$37*('Calcs - Power'!$C146+'Calcs - Power'!$D146+'Calcs - Power'!$E146+'Calcs - Power'!$F146))</f>
        <v>2676307.8474110099</v>
      </c>
      <c r="S147" s="359">
        <f>(('Methane Leakage'!$C$6/'Methane Leakage'!$C$5)*102*'Emissions Factors'!$D$38*'Calcs - Power'!$G146+'Emissions Factors'!$D$37*('Calcs - Power'!$H146+'Calcs - Power'!$I146+'Calcs - Power'!$J146+'Calcs - Power'!$K146))</f>
        <v>32595.547821659708</v>
      </c>
      <c r="T147" s="366">
        <f>(('Methane Leakage'!$C$6/'Methane Leakage'!$C$5)*102*'Emissions Factors'!$D$38*'Calcs - Power'!$B146+'Emissions Factors'!$D$37*('Calcs - Power'!$C146+'Calcs - Power'!$D146+'Calcs - Power'!$E146+'Calcs - Power'!$F146))</f>
        <v>2676307.8474110099</v>
      </c>
      <c r="U147" s="361">
        <f>(102*'Emissions Factors'!$C$36*'Calcs - Power'!$G146+'Emissions Factors'!$C$35*('Calcs - Power'!$H146+'Calcs - Power'!$I146+'Calcs - Power'!$J146+'Calcs - Power'!$K146))</f>
        <v>59566.968187034567</v>
      </c>
      <c r="V147" s="366">
        <f>(102*'Emissions Factors'!$C$36*'Calcs - Power'!$B146+'Emissions Factors'!$C$35*('Calcs - Power'!$C146+'Calcs - Power'!$D146+'Calcs - Power'!$E146+'Calcs - Power'!$F146))</f>
        <v>4593620.7079003435</v>
      </c>
      <c r="W147" s="359">
        <f>(102*'Emissions Factors'!$D$36*'Calcs - Power'!$G146+'Emissions Factors'!$D$35*('Calcs - Power'!$H146+'Calcs - Power'!$I146+'Calcs - Power'!$J146+'Calcs - Power'!$K146))</f>
        <v>59566.968187034567</v>
      </c>
      <c r="X147" s="366">
        <f>(102*'Emissions Factors'!$D$36*'Calcs - Power'!$B146+'Emissions Factors'!$D$35*('Calcs - Power'!$C146+'Calcs - Power'!$D146+'Calcs - Power'!$E146+'Calcs - Power'!$F146))</f>
        <v>4593620.7079003435</v>
      </c>
      <c r="Y147" s="359">
        <f>(102*'Emissions Factors'!$C$38*'Calcs - Power'!$G146+'Emissions Factors'!$C$37*('Calcs - Power'!$H146+'Calcs - Power'!$I146+'Calcs - Power'!$J146+'Calcs - Power'!$K146))</f>
        <v>32595.547821659708</v>
      </c>
      <c r="Z147" s="366">
        <f>(102*'Emissions Factors'!$C$38*'Calcs - Power'!$B146+'Emissions Factors'!$C$37*('Calcs - Power'!$C146+'Calcs - Power'!$D146+'Calcs - Power'!$E146+'Calcs - Power'!$F146))</f>
        <v>2676307.8474110099</v>
      </c>
      <c r="AA147" s="359">
        <f>(102*'Emissions Factors'!$C$36*'Calcs - Power'!$G146+'Emissions Factors'!$C$35*('Calcs - Power'!$H146+'Calcs - Power'!$I146+'Calcs - Power'!$J146+'Calcs - Power'!$K146))</f>
        <v>59566.968187034567</v>
      </c>
      <c r="AB147" s="366">
        <f>(102*'Emissions Factors'!$C$36*'Calcs - Power'!$B146+'Emissions Factors'!$C$35*('Calcs - Power'!$C146+'Calcs - Power'!$D146+'Calcs - Power'!$E146+'Calcs - Power'!$F146))</f>
        <v>4593620.7079003435</v>
      </c>
      <c r="AI147" s="358">
        <f t="shared" si="32"/>
        <v>135</v>
      </c>
      <c r="AJ147" s="359">
        <f>(('Methane Leakage'!$G$6/'Methane Leakage'!$G$5)*102*'Emissions Factors'!$D$10*'Calcs - Power'!$G146+'Emissions Factors'!$D$11*('Calcs - Power'!$H146+'Calcs - Power'!$I146+'Calcs - Power'!$J146+'Calcs - Power'!$K146))</f>
        <v>4474.8342866234116</v>
      </c>
      <c r="AK147" s="366">
        <f>(('Methane Leakage'!$G$6/'Methane Leakage'!$G$5)*102*'Emissions Factors'!$D$10*'Calcs - Power'!$B146+'Emissions Factors'!$D$11*('Calcs - Power'!$C146+'Calcs - Power'!$D146+'Calcs - Power'!$E146+'Calcs - Power'!$F146))</f>
        <v>375588.98225428269</v>
      </c>
      <c r="AL147" s="359">
        <f>(102*'Emissions Factors'!$E$10*'Calcs - Power'!$G146+'Emissions Factors'!$E$11*('Calcs - Power'!H146+'Calcs - Power'!I146+'Calcs - Power'!J146+'Calcs - Power'!K146))</f>
        <v>5304.4657179223832</v>
      </c>
      <c r="AM147" s="366">
        <f>(102*'Emissions Factors'!$E$10*'Calcs - Power'!$B146+'Emissions Factors'!$E$11*('Calcs - Power'!C146+'Calcs - Power'!D146+'Calcs - Power'!E146+'Calcs - Power'!F146))</f>
        <v>411130.37010352442</v>
      </c>
      <c r="AN147" s="359">
        <f>(102*'Emissions Factors'!$D$10*'Calcs - Power'!$G146+'Emissions Factors'!$D$11*('Calcs - Power'!$H146+'Calcs - Power'!$I146+'Calcs - Power'!$J146+'Calcs - Power'!$K146))</f>
        <v>4474.8342866234116</v>
      </c>
      <c r="AO147" s="366">
        <f>(102*'Emissions Factors'!$D$10*'Calcs - Power'!$B146+'Emissions Factors'!$D$11*('Calcs - Power'!$C146+'Calcs - Power'!$D146+'Calcs - Power'!$E146+'Calcs - Power'!$F146))</f>
        <v>375588.98225428269</v>
      </c>
      <c r="AP147" s="367">
        <f>(102*'Emissions Factors'!$E$10*'Calcs - Power'!$G146+'Emissions Factors'!$E$11*('Calcs - Power'!H146+'Calcs - Power'!I146+'Calcs - Power'!J146+'Calcs - Power'!K146))</f>
        <v>5304.4657179223832</v>
      </c>
      <c r="AQ147" s="366">
        <f>(102*'Emissions Factors'!$E$10*'Calcs - Power'!$B146+'Emissions Factors'!$E$11*('Calcs - Power'!C146+'Calcs - Power'!D146+'Calcs - Power'!E146+'Calcs - Power'!F146))</f>
        <v>411130.37010352442</v>
      </c>
      <c r="AS147" s="357"/>
      <c r="AT147" s="357"/>
      <c r="AU147" s="357"/>
      <c r="AV147" s="357"/>
      <c r="AX147" s="358">
        <f t="shared" si="33"/>
        <v>135</v>
      </c>
      <c r="AY147" s="359">
        <f>(('Methane Leakage'!$G$6/'Methane Leakage'!$G$5)*102*'Emissions Factors'!$F$10*'Calcs - Power'!$G146+'Emissions Factors'!$F$11*('Calcs - Power'!$H146+'Calcs - Power'!$I146+'Calcs - Power'!$J146+'Calcs - Power'!$K146))</f>
        <v>6143865.0073435437</v>
      </c>
      <c r="AZ147" s="366">
        <f>(('Methane Leakage'!$G$6/'Methane Leakage'!$G$5)*102*'Emissions Factors'!$F$10*'Calcs - Power'!$B146+'Emissions Factors'!$F$11*('Calcs - Power'!$C146+'Calcs - Power'!$D146+'Calcs - Power'!$E146+'Calcs - Power'!$F146))</f>
        <v>503739357.32108128</v>
      </c>
      <c r="BA147" s="359">
        <f>(102*'Emissions Factors'!$G$10*'Calcs - Power'!$G146+'Emissions Factors'!$G$11*('Calcs - Power'!H146+'Calcs - Power'!I146+'Calcs - Power'!J146+'Calcs - Power'!K146))</f>
        <v>6126125.7851374364</v>
      </c>
      <c r="BB147" s="366">
        <f>(102*'Emissions Factors'!$G$10*'Calcs - Power'!$B146+'Emissions Factors'!$G$11*('Calcs - Power'!C146+'Calcs - Power'!D146+'Calcs - Power'!E146+'Calcs - Power'!F146))</f>
        <v>473561087.69968832</v>
      </c>
      <c r="BC147" s="359">
        <f>(102*'Emissions Factors'!$F$10*'Calcs - Power'!$G146+'Emissions Factors'!$F$11*('Calcs - Power'!$H146+'Calcs - Power'!$I146+'Calcs - Power'!$J146+'Calcs - Power'!$K146))</f>
        <v>6143865.0073435437</v>
      </c>
      <c r="BD147" s="366">
        <f>(102*'Emissions Factors'!$F$10*'Calcs - Power'!$B146+'Emissions Factors'!$F$11*('Calcs - Power'!$C146+'Calcs - Power'!$D146+'Calcs - Power'!$E146+'Calcs - Power'!$F146))</f>
        <v>503739357.32108128</v>
      </c>
      <c r="BE147" s="359">
        <f>(102*'Emissions Factors'!$G$10*'Calcs - Power'!$G146+'Emissions Factors'!$G$11*('Calcs - Power'!H146+'Calcs - Power'!I146+'Calcs - Power'!J146+'Calcs - Power'!K146))</f>
        <v>6126125.7851374364</v>
      </c>
      <c r="BF147" s="366">
        <f>(102*'Emissions Factors'!$G$10*'Calcs - Power'!$B146+'Emissions Factors'!$G$11*('Calcs - Power'!C146+'Calcs - Power'!D146+'Calcs - Power'!E146+'Calcs - Power'!F146))</f>
        <v>473561087.69968832</v>
      </c>
    </row>
    <row r="148" spans="1:58" x14ac:dyDescent="0.3">
      <c r="A148" s="351">
        <f t="shared" si="30"/>
        <v>136</v>
      </c>
      <c r="B148" s="352">
        <f t="shared" si="24"/>
        <v>0.99999999999999978</v>
      </c>
      <c r="C148" s="363">
        <f t="shared" si="25"/>
        <v>0.99999999999999967</v>
      </c>
      <c r="D148" s="352">
        <f t="shared" si="26"/>
        <v>1</v>
      </c>
      <c r="E148" s="364">
        <f t="shared" si="27"/>
        <v>1</v>
      </c>
      <c r="F148" s="364">
        <f t="shared" si="28"/>
        <v>1</v>
      </c>
      <c r="G148" s="365">
        <f t="shared" si="29"/>
        <v>1</v>
      </c>
      <c r="P148" s="358">
        <f t="shared" si="31"/>
        <v>136</v>
      </c>
      <c r="Q148" s="359">
        <f>(('Methane Leakage'!$C$6/'Methane Leakage'!$C$5)*102*'Emissions Factors'!$C$38*'Calcs - Power'!$G147+'Emissions Factors'!$C$37*('Calcs - Power'!$H147+'Calcs - Power'!$I147+'Calcs - Power'!$J147+'Calcs - Power'!$K147))</f>
        <v>32755.301759075512</v>
      </c>
      <c r="R148" s="366">
        <f>(('Methane Leakage'!$C$6/'Methane Leakage'!$C$5)*102*'Emissions Factors'!$C$38*'Calcs - Power'!$B147+'Emissions Factors'!$C$37*('Calcs - Power'!$C147+'Calcs - Power'!$D147+'Calcs - Power'!$E147+'Calcs - Power'!$F147))</f>
        <v>2708983.2998556811</v>
      </c>
      <c r="S148" s="359">
        <f>(('Methane Leakage'!$C$6/'Methane Leakage'!$C$5)*102*'Emissions Factors'!$D$38*'Calcs - Power'!$G147+'Emissions Factors'!$D$37*('Calcs - Power'!$H147+'Calcs - Power'!$I147+'Calcs - Power'!$J147+'Calcs - Power'!$K147))</f>
        <v>32755.301759075512</v>
      </c>
      <c r="T148" s="366">
        <f>(('Methane Leakage'!$C$6/'Methane Leakage'!$C$5)*102*'Emissions Factors'!$D$38*'Calcs - Power'!$B147+'Emissions Factors'!$D$37*('Calcs - Power'!$C147+'Calcs - Power'!$D147+'Calcs - Power'!$E147+'Calcs - Power'!$F147))</f>
        <v>2708983.2998556811</v>
      </c>
      <c r="U148" s="361">
        <f>(102*'Emissions Factors'!$C$36*'Calcs - Power'!$G147+'Emissions Factors'!$C$35*('Calcs - Power'!$H147+'Calcs - Power'!$I147+'Calcs - Power'!$J147+'Calcs - Power'!$K147))</f>
        <v>59894.524193729514</v>
      </c>
      <c r="V148" s="366">
        <f>(102*'Emissions Factors'!$C$36*'Calcs - Power'!$B147+'Emissions Factors'!$C$35*('Calcs - Power'!$C147+'Calcs - Power'!$D147+'Calcs - Power'!$E147+'Calcs - Power'!$F147))</f>
        <v>4653351.5107413344</v>
      </c>
      <c r="W148" s="359">
        <f>(102*'Emissions Factors'!$D$36*'Calcs - Power'!$G147+'Emissions Factors'!$D$35*('Calcs - Power'!$H147+'Calcs - Power'!$I147+'Calcs - Power'!$J147+'Calcs - Power'!$K147))</f>
        <v>59894.524193729514</v>
      </c>
      <c r="X148" s="366">
        <f>(102*'Emissions Factors'!$D$36*'Calcs - Power'!$B147+'Emissions Factors'!$D$35*('Calcs - Power'!$C147+'Calcs - Power'!$D147+'Calcs - Power'!$E147+'Calcs - Power'!$F147))</f>
        <v>4653351.5107413344</v>
      </c>
      <c r="Y148" s="359">
        <f>(102*'Emissions Factors'!$C$38*'Calcs - Power'!$G147+'Emissions Factors'!$C$37*('Calcs - Power'!$H147+'Calcs - Power'!$I147+'Calcs - Power'!$J147+'Calcs - Power'!$K147))</f>
        <v>32755.301759075512</v>
      </c>
      <c r="Z148" s="366">
        <f>(102*'Emissions Factors'!$C$38*'Calcs - Power'!$B147+'Emissions Factors'!$C$37*('Calcs - Power'!$C147+'Calcs - Power'!$D147+'Calcs - Power'!$E147+'Calcs - Power'!$F147))</f>
        <v>2708983.2998556811</v>
      </c>
      <c r="AA148" s="359">
        <f>(102*'Emissions Factors'!$C$36*'Calcs - Power'!$G147+'Emissions Factors'!$C$35*('Calcs - Power'!$H147+'Calcs - Power'!$I147+'Calcs - Power'!$J147+'Calcs - Power'!$K147))</f>
        <v>59894.524193729514</v>
      </c>
      <c r="AB148" s="366">
        <f>(102*'Emissions Factors'!$C$36*'Calcs - Power'!$B147+'Emissions Factors'!$C$35*('Calcs - Power'!$C147+'Calcs - Power'!$D147+'Calcs - Power'!$E147+'Calcs - Power'!$F147))</f>
        <v>4653351.5107413344</v>
      </c>
      <c r="AI148" s="358">
        <f t="shared" si="32"/>
        <v>136</v>
      </c>
      <c r="AJ148" s="359">
        <f>(('Methane Leakage'!$G$6/'Methane Leakage'!$G$5)*102*'Emissions Factors'!$D$10*'Calcs - Power'!$G147+'Emissions Factors'!$D$11*('Calcs - Power'!$H147+'Calcs - Power'!$I147+'Calcs - Power'!$J147+'Calcs - Power'!$K147))</f>
        <v>4495.7862606315539</v>
      </c>
      <c r="AK148" s="366">
        <f>(('Methane Leakage'!$G$6/'Methane Leakage'!$G$5)*102*'Emissions Factors'!$D$10*'Calcs - Power'!$B147+'Emissions Factors'!$D$11*('Calcs - Power'!$C147+'Calcs - Power'!$D147+'Calcs - Power'!$E147+'Calcs - Power'!$F147))</f>
        <v>380074.29615622235</v>
      </c>
      <c r="AL148" s="359">
        <f>(102*'Emissions Factors'!$E$10*'Calcs - Power'!$G147+'Emissions Factors'!$E$11*('Calcs - Power'!H147+'Calcs - Power'!I147+'Calcs - Power'!J147+'Calcs - Power'!K147))</f>
        <v>5333.3871403917037</v>
      </c>
      <c r="AM148" s="366">
        <f>(102*'Emissions Factors'!$E$10*'Calcs - Power'!$B147+'Emissions Factors'!$E$11*('Calcs - Power'!C147+'Calcs - Power'!D147+'Calcs - Power'!E147+'Calcs - Power'!F147))</f>
        <v>416449.30153494066</v>
      </c>
      <c r="AN148" s="359">
        <f>(102*'Emissions Factors'!$D$10*'Calcs - Power'!$G147+'Emissions Factors'!$D$11*('Calcs - Power'!$H147+'Calcs - Power'!$I147+'Calcs - Power'!$J147+'Calcs - Power'!$K147))</f>
        <v>4495.7862606315539</v>
      </c>
      <c r="AO148" s="366">
        <f>(102*'Emissions Factors'!$D$10*'Calcs - Power'!$B147+'Emissions Factors'!$D$11*('Calcs - Power'!$C147+'Calcs - Power'!$D147+'Calcs - Power'!$E147+'Calcs - Power'!$F147))</f>
        <v>380074.29615622235</v>
      </c>
      <c r="AP148" s="367">
        <f>(102*'Emissions Factors'!$E$10*'Calcs - Power'!$G147+'Emissions Factors'!$E$11*('Calcs - Power'!H147+'Calcs - Power'!I147+'Calcs - Power'!J147+'Calcs - Power'!K147))</f>
        <v>5333.3871403917037</v>
      </c>
      <c r="AQ148" s="366">
        <f>(102*'Emissions Factors'!$E$10*'Calcs - Power'!$B147+'Emissions Factors'!$E$11*('Calcs - Power'!C147+'Calcs - Power'!D147+'Calcs - Power'!E147+'Calcs - Power'!F147))</f>
        <v>416449.30153494066</v>
      </c>
      <c r="AS148" s="357"/>
      <c r="AT148" s="357"/>
      <c r="AU148" s="357"/>
      <c r="AV148" s="357"/>
      <c r="AX148" s="358">
        <f t="shared" si="33"/>
        <v>136</v>
      </c>
      <c r="AY148" s="359">
        <f>(('Methane Leakage'!$G$6/'Methane Leakage'!$G$5)*102*'Emissions Factors'!$F$10*'Calcs - Power'!$G147+'Emissions Factors'!$F$11*('Calcs - Power'!$H147+'Calcs - Power'!$I147+'Calcs - Power'!$J147+'Calcs - Power'!$K147))</f>
        <v>6174062.0179059822</v>
      </c>
      <c r="AZ148" s="366">
        <f>(('Methane Leakage'!$G$6/'Methane Leakage'!$G$5)*102*'Emissions Factors'!$F$10*'Calcs - Power'!$B147+'Emissions Factors'!$F$11*('Calcs - Power'!$C147+'Calcs - Power'!$D147+'Calcs - Power'!$E147+'Calcs - Power'!$F147))</f>
        <v>509898326.06085557</v>
      </c>
      <c r="BA148" s="359">
        <f>(102*'Emissions Factors'!$G$10*'Calcs - Power'!$G147+'Emissions Factors'!$G$11*('Calcs - Power'!H147+'Calcs - Power'!I147+'Calcs - Power'!J147+'Calcs - Power'!K147))</f>
        <v>6159677.2906754315</v>
      </c>
      <c r="BB148" s="366">
        <f>(102*'Emissions Factors'!$G$10*'Calcs - Power'!$B147+'Emissions Factors'!$G$11*('Calcs - Power'!C147+'Calcs - Power'!D147+'Calcs - Power'!E147+'Calcs - Power'!F147))</f>
        <v>479703995.04048079</v>
      </c>
      <c r="BC148" s="359">
        <f>(102*'Emissions Factors'!$F$10*'Calcs - Power'!$G147+'Emissions Factors'!$F$11*('Calcs - Power'!$H147+'Calcs - Power'!$I147+'Calcs - Power'!$J147+'Calcs - Power'!$K147))</f>
        <v>6174062.0179059822</v>
      </c>
      <c r="BD148" s="366">
        <f>(102*'Emissions Factors'!$F$10*'Calcs - Power'!$B147+'Emissions Factors'!$F$11*('Calcs - Power'!$C147+'Calcs - Power'!$D147+'Calcs - Power'!$E147+'Calcs - Power'!$F147))</f>
        <v>509898326.06085557</v>
      </c>
      <c r="BE148" s="359">
        <f>(102*'Emissions Factors'!$G$10*'Calcs - Power'!$G147+'Emissions Factors'!$G$11*('Calcs - Power'!H147+'Calcs - Power'!I147+'Calcs - Power'!J147+'Calcs - Power'!K147))</f>
        <v>6159677.2906754315</v>
      </c>
      <c r="BF148" s="366">
        <f>(102*'Emissions Factors'!$G$10*'Calcs - Power'!$B147+'Emissions Factors'!$G$11*('Calcs - Power'!C147+'Calcs - Power'!D147+'Calcs - Power'!E147+'Calcs - Power'!F147))</f>
        <v>479703995.04048079</v>
      </c>
    </row>
    <row r="149" spans="1:58" x14ac:dyDescent="0.3">
      <c r="A149" s="351">
        <f t="shared" si="30"/>
        <v>137</v>
      </c>
      <c r="B149" s="352">
        <f t="shared" si="24"/>
        <v>1</v>
      </c>
      <c r="C149" s="363">
        <f t="shared" si="25"/>
        <v>0.99999999999999989</v>
      </c>
      <c r="D149" s="352">
        <f t="shared" si="26"/>
        <v>1</v>
      </c>
      <c r="E149" s="364">
        <f t="shared" si="27"/>
        <v>1</v>
      </c>
      <c r="F149" s="364">
        <f t="shared" si="28"/>
        <v>1</v>
      </c>
      <c r="G149" s="365">
        <f t="shared" si="29"/>
        <v>1</v>
      </c>
      <c r="P149" s="358">
        <f t="shared" si="31"/>
        <v>137</v>
      </c>
      <c r="Q149" s="359">
        <f>(('Methane Leakage'!$C$6/'Methane Leakage'!$C$5)*102*'Emissions Factors'!$C$38*'Calcs - Power'!$G148+'Emissions Factors'!$C$37*('Calcs - Power'!$H148+'Calcs - Power'!$I148+'Calcs - Power'!$J148+'Calcs - Power'!$K148))</f>
        <v>32914.724951345706</v>
      </c>
      <c r="R149" s="366">
        <f>(('Methane Leakage'!$C$6/'Methane Leakage'!$C$5)*102*'Emissions Factors'!$C$38*'Calcs - Power'!$B148+'Emissions Factors'!$C$37*('Calcs - Power'!$C148+'Calcs - Power'!$D148+'Calcs - Power'!$E148+'Calcs - Power'!$F148))</f>
        <v>2741818.3406811068</v>
      </c>
      <c r="S149" s="359">
        <f>(('Methane Leakage'!$C$6/'Methane Leakage'!$C$5)*102*'Emissions Factors'!$D$38*'Calcs - Power'!$G148+'Emissions Factors'!$D$37*('Calcs - Power'!$H148+'Calcs - Power'!$I148+'Calcs - Power'!$J148+'Calcs - Power'!$K148))</f>
        <v>32914.724951345706</v>
      </c>
      <c r="T149" s="366">
        <f>(('Methane Leakage'!$C$6/'Methane Leakage'!$C$5)*102*'Emissions Factors'!$D$38*'Calcs - Power'!$B148+'Emissions Factors'!$D$37*('Calcs - Power'!$C148+'Calcs - Power'!$D148+'Calcs - Power'!$E148+'Calcs - Power'!$F148))</f>
        <v>2741818.3406811068</v>
      </c>
      <c r="U149" s="361">
        <f>(102*'Emissions Factors'!$C$36*'Calcs - Power'!$G148+'Emissions Factors'!$C$35*('Calcs - Power'!$H148+'Calcs - Power'!$I148+'Calcs - Power'!$J148+'Calcs - Power'!$K148))</f>
        <v>60221.402636460807</v>
      </c>
      <c r="V149" s="366">
        <f>(102*'Emissions Factors'!$C$36*'Calcs - Power'!$B148+'Emissions Factors'!$C$35*('Calcs - Power'!$C148+'Calcs - Power'!$D148+'Calcs - Power'!$E148+'Calcs - Power'!$F148))</f>
        <v>4713409.5304337749</v>
      </c>
      <c r="W149" s="359">
        <f>(102*'Emissions Factors'!$D$36*'Calcs - Power'!$G148+'Emissions Factors'!$D$35*('Calcs - Power'!$H148+'Calcs - Power'!$I148+'Calcs - Power'!$J148+'Calcs - Power'!$K148))</f>
        <v>60221.402636460807</v>
      </c>
      <c r="X149" s="366">
        <f>(102*'Emissions Factors'!$D$36*'Calcs - Power'!$B148+'Emissions Factors'!$D$35*('Calcs - Power'!$C148+'Calcs - Power'!$D148+'Calcs - Power'!$E148+'Calcs - Power'!$F148))</f>
        <v>4713409.5304337749</v>
      </c>
      <c r="Y149" s="359">
        <f>(102*'Emissions Factors'!$C$38*'Calcs - Power'!$G148+'Emissions Factors'!$C$37*('Calcs - Power'!$H148+'Calcs - Power'!$I148+'Calcs - Power'!$J148+'Calcs - Power'!$K148))</f>
        <v>32914.724951345706</v>
      </c>
      <c r="Z149" s="366">
        <f>(102*'Emissions Factors'!$C$38*'Calcs - Power'!$B148+'Emissions Factors'!$C$37*('Calcs - Power'!$C148+'Calcs - Power'!$D148+'Calcs - Power'!$E148+'Calcs - Power'!$F148))</f>
        <v>2741818.3406811068</v>
      </c>
      <c r="AA149" s="359">
        <f>(102*'Emissions Factors'!$C$36*'Calcs - Power'!$G148+'Emissions Factors'!$C$35*('Calcs - Power'!$H148+'Calcs - Power'!$I148+'Calcs - Power'!$J148+'Calcs - Power'!$K148))</f>
        <v>60221.402636460807</v>
      </c>
      <c r="AB149" s="366">
        <f>(102*'Emissions Factors'!$C$36*'Calcs - Power'!$B148+'Emissions Factors'!$C$35*('Calcs - Power'!$C148+'Calcs - Power'!$D148+'Calcs - Power'!$E148+'Calcs - Power'!$F148))</f>
        <v>4713409.5304337749</v>
      </c>
      <c r="AI149" s="358">
        <f t="shared" si="32"/>
        <v>137</v>
      </c>
      <c r="AJ149" s="359">
        <f>(('Methane Leakage'!$G$6/'Methane Leakage'!$G$5)*102*'Emissions Factors'!$D$10*'Calcs - Power'!$G148+'Emissions Factors'!$D$11*('Calcs - Power'!$H148+'Calcs - Power'!$I148+'Calcs - Power'!$J148+'Calcs - Power'!$K148))</f>
        <v>4516.6948407123718</v>
      </c>
      <c r="AK149" s="366">
        <f>(('Methane Leakage'!$G$6/'Methane Leakage'!$G$5)*102*'Emissions Factors'!$D$10*'Calcs - Power'!$B148+'Emissions Factors'!$D$11*('Calcs - Power'!$C148+'Calcs - Power'!$D148+'Calcs - Power'!$E148+'Calcs - Power'!$F148))</f>
        <v>384580.54031094769</v>
      </c>
      <c r="AL149" s="359">
        <f>(102*'Emissions Factors'!$E$10*'Calcs - Power'!$G148+'Emissions Factors'!$E$11*('Calcs - Power'!H148+'Calcs - Power'!I148+'Calcs - Power'!J148+'Calcs - Power'!K148))</f>
        <v>5362.2487339825148</v>
      </c>
      <c r="AM149" s="366">
        <f>(102*'Emissions Factors'!$E$10*'Calcs - Power'!$B148+'Emissions Factors'!$E$11*('Calcs - Power'!C148+'Calcs - Power'!D148+'Calcs - Power'!E148+'Calcs - Power'!F148))</f>
        <v>421797.12444140384</v>
      </c>
      <c r="AN149" s="359">
        <f>(102*'Emissions Factors'!$D$10*'Calcs - Power'!$G148+'Emissions Factors'!$D$11*('Calcs - Power'!$H148+'Calcs - Power'!$I148+'Calcs - Power'!$J148+'Calcs - Power'!$K148))</f>
        <v>4516.6948407123718</v>
      </c>
      <c r="AO149" s="366">
        <f>(102*'Emissions Factors'!$D$10*'Calcs - Power'!$B148+'Emissions Factors'!$D$11*('Calcs - Power'!$C148+'Calcs - Power'!$D148+'Calcs - Power'!$E148+'Calcs - Power'!$F148))</f>
        <v>384580.54031094769</v>
      </c>
      <c r="AP149" s="367">
        <f>(102*'Emissions Factors'!$E$10*'Calcs - Power'!$G148+'Emissions Factors'!$E$11*('Calcs - Power'!H148+'Calcs - Power'!I148+'Calcs - Power'!J148+'Calcs - Power'!K148))</f>
        <v>5362.2487339825148</v>
      </c>
      <c r="AQ149" s="366">
        <f>(102*'Emissions Factors'!$E$10*'Calcs - Power'!$B148+'Emissions Factors'!$E$11*('Calcs - Power'!C148+'Calcs - Power'!D148+'Calcs - Power'!E148+'Calcs - Power'!F148))</f>
        <v>421797.12444140384</v>
      </c>
      <c r="AS149" s="357"/>
      <c r="AT149" s="357"/>
      <c r="AU149" s="357"/>
      <c r="AV149" s="357"/>
      <c r="AX149" s="358">
        <f t="shared" si="33"/>
        <v>137</v>
      </c>
      <c r="AY149" s="359">
        <f>(('Methane Leakage'!$G$6/'Methane Leakage'!$G$5)*102*'Emissions Factors'!$F$10*'Calcs - Power'!$G148+'Emissions Factors'!$F$11*('Calcs - Power'!$H148+'Calcs - Power'!$I148+'Calcs - Power'!$J148+'Calcs - Power'!$K148))</f>
        <v>6204196.511766403</v>
      </c>
      <c r="AZ149" s="366">
        <f>(('Methane Leakage'!$G$6/'Methane Leakage'!$G$5)*102*'Emissions Factors'!$F$10*'Calcs - Power'!$B148+'Emissions Factors'!$F$11*('Calcs - Power'!$C148+'Calcs - Power'!$D148+'Calcs - Power'!$E148+'Calcs - Power'!$F148))</f>
        <v>516087460.51805449</v>
      </c>
      <c r="BA149" s="359">
        <f>(102*'Emissions Factors'!$G$10*'Calcs - Power'!$G148+'Emissions Factors'!$G$11*('Calcs - Power'!H148+'Calcs - Power'!I148+'Calcs - Power'!J148+'Calcs - Power'!K148))</f>
        <v>6193159.3914524512</v>
      </c>
      <c r="BB149" s="366">
        <f>(102*'Emissions Factors'!$G$10*'Calcs - Power'!$B148+'Emissions Factors'!$G$11*('Calcs - Power'!C148+'Calcs - Power'!D148+'Calcs - Power'!E148+'Calcs - Power'!F148))</f>
        <v>485880419.14618313</v>
      </c>
      <c r="BC149" s="359">
        <f>(102*'Emissions Factors'!$F$10*'Calcs - Power'!$G148+'Emissions Factors'!$F$11*('Calcs - Power'!$H148+'Calcs - Power'!$I148+'Calcs - Power'!$J148+'Calcs - Power'!$K148))</f>
        <v>6204196.511766403</v>
      </c>
      <c r="BD149" s="366">
        <f>(102*'Emissions Factors'!$F$10*'Calcs - Power'!$B148+'Emissions Factors'!$F$11*('Calcs - Power'!$C148+'Calcs - Power'!$D148+'Calcs - Power'!$E148+'Calcs - Power'!$F148))</f>
        <v>516087460.51805449</v>
      </c>
      <c r="BE149" s="359">
        <f>(102*'Emissions Factors'!$G$10*'Calcs - Power'!$G148+'Emissions Factors'!$G$11*('Calcs - Power'!H148+'Calcs - Power'!I148+'Calcs - Power'!J148+'Calcs - Power'!K148))</f>
        <v>6193159.3914524512</v>
      </c>
      <c r="BF149" s="366">
        <f>(102*'Emissions Factors'!$G$10*'Calcs - Power'!$B148+'Emissions Factors'!$G$11*('Calcs - Power'!C148+'Calcs - Power'!D148+'Calcs - Power'!E148+'Calcs - Power'!F148))</f>
        <v>485880419.14618313</v>
      </c>
    </row>
    <row r="150" spans="1:58" x14ac:dyDescent="0.3">
      <c r="A150" s="351">
        <f t="shared" si="30"/>
        <v>138</v>
      </c>
      <c r="B150" s="352">
        <f t="shared" si="24"/>
        <v>0.99999999999999978</v>
      </c>
      <c r="C150" s="363">
        <f t="shared" si="25"/>
        <v>1</v>
      </c>
      <c r="D150" s="352">
        <f t="shared" si="26"/>
        <v>1</v>
      </c>
      <c r="E150" s="364">
        <f t="shared" si="27"/>
        <v>1</v>
      </c>
      <c r="F150" s="364">
        <f t="shared" si="28"/>
        <v>1</v>
      </c>
      <c r="G150" s="365">
        <f t="shared" si="29"/>
        <v>1</v>
      </c>
      <c r="P150" s="358">
        <f t="shared" si="31"/>
        <v>138</v>
      </c>
      <c r="Q150" s="359">
        <f>(('Methane Leakage'!$C$6/'Methane Leakage'!$C$5)*102*'Emissions Factors'!$C$38*'Calcs - Power'!$G149+'Emissions Factors'!$C$37*('Calcs - Power'!$H149+'Calcs - Power'!$I149+'Calcs - Power'!$J149+'Calcs - Power'!$K149))</f>
        <v>33073.819592969659</v>
      </c>
      <c r="R150" s="366">
        <f>(('Methane Leakage'!$C$6/'Methane Leakage'!$C$5)*102*'Emissions Factors'!$C$38*'Calcs - Power'!$B149+'Emissions Factors'!$C$37*('Calcs - Power'!$C149+'Calcs - Power'!$D149+'Calcs - Power'!$E149+'Calcs - Power'!$F149))</f>
        <v>2774812.6402418059</v>
      </c>
      <c r="S150" s="359">
        <f>(('Methane Leakage'!$C$6/'Methane Leakage'!$C$5)*102*'Emissions Factors'!$D$38*'Calcs - Power'!$G149+'Emissions Factors'!$D$37*('Calcs - Power'!$H149+'Calcs - Power'!$I149+'Calcs - Power'!$J149+'Calcs - Power'!$K149))</f>
        <v>33073.819592969659</v>
      </c>
      <c r="T150" s="366">
        <f>(('Methane Leakage'!$C$6/'Methane Leakage'!$C$5)*102*'Emissions Factors'!$D$38*'Calcs - Power'!$B149+'Emissions Factors'!$D$37*('Calcs - Power'!$C149+'Calcs - Power'!$D149+'Calcs - Power'!$E149+'Calcs - Power'!$F149))</f>
        <v>2774812.6402418059</v>
      </c>
      <c r="U150" s="361">
        <f>(102*'Emissions Factors'!$C$36*'Calcs - Power'!$G149+'Emissions Factors'!$C$35*('Calcs - Power'!$H149+'Calcs - Power'!$I149+'Calcs - Power'!$J149+'Calcs - Power'!$K149))</f>
        <v>60547.607966564574</v>
      </c>
      <c r="V150" s="366">
        <f>(102*'Emissions Factors'!$C$36*'Calcs - Power'!$B149+'Emissions Factors'!$C$35*('Calcs - Power'!$C149+'Calcs - Power'!$D149+'Calcs - Power'!$E149+'Calcs - Power'!$F149))</f>
        <v>4773794.0916439844</v>
      </c>
      <c r="W150" s="359">
        <f>(102*'Emissions Factors'!$D$36*'Calcs - Power'!$G149+'Emissions Factors'!$D$35*('Calcs - Power'!$H149+'Calcs - Power'!$I149+'Calcs - Power'!$J149+'Calcs - Power'!$K149))</f>
        <v>60547.607966564574</v>
      </c>
      <c r="X150" s="366">
        <f>(102*'Emissions Factors'!$D$36*'Calcs - Power'!$B149+'Emissions Factors'!$D$35*('Calcs - Power'!$C149+'Calcs - Power'!$D149+'Calcs - Power'!$E149+'Calcs - Power'!$F149))</f>
        <v>4773794.0916439844</v>
      </c>
      <c r="Y150" s="359">
        <f>(102*'Emissions Factors'!$C$38*'Calcs - Power'!$G149+'Emissions Factors'!$C$37*('Calcs - Power'!$H149+'Calcs - Power'!$I149+'Calcs - Power'!$J149+'Calcs - Power'!$K149))</f>
        <v>33073.819592969659</v>
      </c>
      <c r="Z150" s="366">
        <f>(102*'Emissions Factors'!$C$38*'Calcs - Power'!$B149+'Emissions Factors'!$C$37*('Calcs - Power'!$C149+'Calcs - Power'!$D149+'Calcs - Power'!$E149+'Calcs - Power'!$F149))</f>
        <v>2774812.6402418059</v>
      </c>
      <c r="AA150" s="359">
        <f>(102*'Emissions Factors'!$C$36*'Calcs - Power'!$G149+'Emissions Factors'!$C$35*('Calcs - Power'!$H149+'Calcs - Power'!$I149+'Calcs - Power'!$J149+'Calcs - Power'!$K149))</f>
        <v>60547.607966564574</v>
      </c>
      <c r="AB150" s="366">
        <f>(102*'Emissions Factors'!$C$36*'Calcs - Power'!$B149+'Emissions Factors'!$C$35*('Calcs - Power'!$C149+'Calcs - Power'!$D149+'Calcs - Power'!$E149+'Calcs - Power'!$F149))</f>
        <v>4773794.0916439844</v>
      </c>
      <c r="AI150" s="358">
        <f t="shared" si="32"/>
        <v>138</v>
      </c>
      <c r="AJ150" s="359">
        <f>(('Methane Leakage'!$G$6/'Methane Leakage'!$G$5)*102*'Emissions Factors'!$D$10*'Calcs - Power'!$G149+'Emissions Factors'!$D$11*('Calcs - Power'!$H149+'Calcs - Power'!$I149+'Calcs - Power'!$J149+'Calcs - Power'!$K149))</f>
        <v>4537.5603160041846</v>
      </c>
      <c r="AK150" s="366">
        <f>(('Methane Leakage'!$G$6/'Methane Leakage'!$G$5)*102*'Emissions Factors'!$D$10*'Calcs - Power'!$B149+'Emissions Factors'!$D$11*('Calcs - Power'!$C149+'Calcs - Power'!$D149+'Calcs - Power'!$E149+'Calcs - Power'!$F149))</f>
        <v>389107.6714694266</v>
      </c>
      <c r="AL150" s="359">
        <f>(102*'Emissions Factors'!$E$10*'Calcs - Power'!$G149+'Emissions Factors'!$E$11*('Calcs - Power'!H149+'Calcs - Power'!I149+'Calcs - Power'!J149+'Calcs - Power'!K149))</f>
        <v>5391.0508920224847</v>
      </c>
      <c r="AM150" s="366">
        <f>(102*'Emissions Factors'!$E$10*'Calcs - Power'!$B149+'Emissions Factors'!$E$11*('Calcs - Power'!C149+'Calcs - Power'!D149+'Calcs - Power'!E149+'Calcs - Power'!F149))</f>
        <v>427173.779191109</v>
      </c>
      <c r="AN150" s="359">
        <f>(102*'Emissions Factors'!$D$10*'Calcs - Power'!$G149+'Emissions Factors'!$D$11*('Calcs - Power'!$H149+'Calcs - Power'!$I149+'Calcs - Power'!$J149+'Calcs - Power'!$K149))</f>
        <v>4537.5603160041846</v>
      </c>
      <c r="AO150" s="366">
        <f>(102*'Emissions Factors'!$D$10*'Calcs - Power'!$B149+'Emissions Factors'!$D$11*('Calcs - Power'!$C149+'Calcs - Power'!$D149+'Calcs - Power'!$E149+'Calcs - Power'!$F149))</f>
        <v>389107.6714694266</v>
      </c>
      <c r="AP150" s="367">
        <f>(102*'Emissions Factors'!$E$10*'Calcs - Power'!$G149+'Emissions Factors'!$E$11*('Calcs - Power'!H149+'Calcs - Power'!I149+'Calcs - Power'!J149+'Calcs - Power'!K149))</f>
        <v>5391.0508920224847</v>
      </c>
      <c r="AQ150" s="366">
        <f>(102*'Emissions Factors'!$E$10*'Calcs - Power'!$B149+'Emissions Factors'!$E$11*('Calcs - Power'!C149+'Calcs - Power'!D149+'Calcs - Power'!E149+'Calcs - Power'!F149))</f>
        <v>427173.779191109</v>
      </c>
      <c r="AS150" s="357"/>
      <c r="AT150" s="357"/>
      <c r="AU150" s="357"/>
      <c r="AV150" s="357"/>
      <c r="AX150" s="358">
        <f t="shared" si="33"/>
        <v>138</v>
      </c>
      <c r="AY150" s="359">
        <f>(('Methane Leakage'!$G$6/'Methane Leakage'!$G$5)*102*'Emissions Factors'!$F$10*'Calcs - Power'!$G149+'Emissions Factors'!$F$11*('Calcs - Power'!$H149+'Calcs - Power'!$I149+'Calcs - Power'!$J149+'Calcs - Power'!$K149))</f>
        <v>6234268.9036179483</v>
      </c>
      <c r="AZ150" s="366">
        <f>(('Methane Leakage'!$G$6/'Methane Leakage'!$G$5)*102*'Emissions Factors'!$F$10*'Calcs - Power'!$B149+'Emissions Factors'!$F$11*('Calcs - Power'!$C149+'Calcs - Power'!$D149+'Calcs - Power'!$E149+'Calcs - Power'!$F149))</f>
        <v>522306698.38377827</v>
      </c>
      <c r="BA150" s="359">
        <f>(102*'Emissions Factors'!$G$10*'Calcs - Power'!$G149+'Emissions Factors'!$G$11*('Calcs - Power'!H149+'Calcs - Power'!I149+'Calcs - Power'!J149+'Calcs - Power'!K149))</f>
        <v>6226572.543581943</v>
      </c>
      <c r="BB150" s="366">
        <f>(102*'Emissions Factors'!$G$10*'Calcs - Power'!$B149+'Emissions Factors'!$G$11*('Calcs - Power'!C149+'Calcs - Power'!D149+'Calcs - Power'!E149+'Calcs - Power'!F149))</f>
        <v>492090290.8405652</v>
      </c>
      <c r="BC150" s="359">
        <f>(102*'Emissions Factors'!$F$10*'Calcs - Power'!$G149+'Emissions Factors'!$F$11*('Calcs - Power'!$H149+'Calcs - Power'!$I149+'Calcs - Power'!$J149+'Calcs - Power'!$K149))</f>
        <v>6234268.9036179483</v>
      </c>
      <c r="BD150" s="366">
        <f>(102*'Emissions Factors'!$F$10*'Calcs - Power'!$B149+'Emissions Factors'!$F$11*('Calcs - Power'!$C149+'Calcs - Power'!$D149+'Calcs - Power'!$E149+'Calcs - Power'!$F149))</f>
        <v>522306698.38377827</v>
      </c>
      <c r="BE150" s="359">
        <f>(102*'Emissions Factors'!$G$10*'Calcs - Power'!$G149+'Emissions Factors'!$G$11*('Calcs - Power'!H149+'Calcs - Power'!I149+'Calcs - Power'!J149+'Calcs - Power'!K149))</f>
        <v>6226572.543581943</v>
      </c>
      <c r="BF150" s="366">
        <f>(102*'Emissions Factors'!$G$10*'Calcs - Power'!$B149+'Emissions Factors'!$G$11*('Calcs - Power'!C149+'Calcs - Power'!D149+'Calcs - Power'!E149+'Calcs - Power'!F149))</f>
        <v>492090290.8405652</v>
      </c>
    </row>
    <row r="151" spans="1:58" x14ac:dyDescent="0.3">
      <c r="A151" s="351">
        <f t="shared" si="30"/>
        <v>139</v>
      </c>
      <c r="B151" s="352">
        <f t="shared" si="24"/>
        <v>1</v>
      </c>
      <c r="C151" s="363">
        <f t="shared" si="25"/>
        <v>0.99999999999999989</v>
      </c>
      <c r="D151" s="352">
        <f t="shared" si="26"/>
        <v>1</v>
      </c>
      <c r="E151" s="364">
        <f t="shared" si="27"/>
        <v>1</v>
      </c>
      <c r="F151" s="364">
        <f t="shared" si="28"/>
        <v>1</v>
      </c>
      <c r="G151" s="365">
        <f t="shared" si="29"/>
        <v>1</v>
      </c>
      <c r="P151" s="358">
        <f t="shared" si="31"/>
        <v>139</v>
      </c>
      <c r="Q151" s="359">
        <f>(('Methane Leakage'!$C$6/'Methane Leakage'!$C$5)*102*'Emissions Factors'!$C$38*'Calcs - Power'!$G150+'Emissions Factors'!$C$37*('Calcs - Power'!$H150+'Calcs - Power'!$I150+'Calcs - Power'!$J150+'Calcs - Power'!$K150))</f>
        <v>33232.587850015472</v>
      </c>
      <c r="R151" s="366">
        <f>(('Methane Leakage'!$C$6/'Methane Leakage'!$C$5)*102*'Emissions Factors'!$C$38*'Calcs - Power'!$B150+'Emissions Factors'!$C$37*('Calcs - Power'!$C150+'Calcs - Power'!$D150+'Calcs - Power'!$E150+'Calcs - Power'!$F150))</f>
        <v>2807965.8710724912</v>
      </c>
      <c r="S151" s="359">
        <f>(('Methane Leakage'!$C$6/'Methane Leakage'!$C$5)*102*'Emissions Factors'!$D$38*'Calcs - Power'!$G150+'Emissions Factors'!$D$37*('Calcs - Power'!$H150+'Calcs - Power'!$I150+'Calcs - Power'!$J150+'Calcs - Power'!$K150))</f>
        <v>33232.587850015472</v>
      </c>
      <c r="T151" s="366">
        <f>(('Methane Leakage'!$C$6/'Methane Leakage'!$C$5)*102*'Emissions Factors'!$D$38*'Calcs - Power'!$B150+'Emissions Factors'!$D$37*('Calcs - Power'!$C150+'Calcs - Power'!$D150+'Calcs - Power'!$E150+'Calcs - Power'!$F150))</f>
        <v>2807965.8710724912</v>
      </c>
      <c r="U151" s="361">
        <f>(102*'Emissions Factors'!$C$36*'Calcs - Power'!$G150+'Emissions Factors'!$C$35*('Calcs - Power'!$H150+'Calcs - Power'!$I150+'Calcs - Power'!$J150+'Calcs - Power'!$K150))</f>
        <v>60873.144580944419</v>
      </c>
      <c r="V151" s="366">
        <f>(102*'Emissions Factors'!$C$36*'Calcs - Power'!$B150+'Emissions Factors'!$C$35*('Calcs - Power'!$C150+'Calcs - Power'!$D150+'Calcs - Power'!$E150+'Calcs - Power'!$F150))</f>
        <v>4834504.5234622471</v>
      </c>
      <c r="W151" s="359">
        <f>(102*'Emissions Factors'!$D$36*'Calcs - Power'!$G150+'Emissions Factors'!$D$35*('Calcs - Power'!$H150+'Calcs - Power'!$I150+'Calcs - Power'!$J150+'Calcs - Power'!$K150))</f>
        <v>60873.144580944419</v>
      </c>
      <c r="X151" s="366">
        <f>(102*'Emissions Factors'!$D$36*'Calcs - Power'!$B150+'Emissions Factors'!$D$35*('Calcs - Power'!$C150+'Calcs - Power'!$D150+'Calcs - Power'!$E150+'Calcs - Power'!$F150))</f>
        <v>4834504.5234622471</v>
      </c>
      <c r="Y151" s="359">
        <f>(102*'Emissions Factors'!$C$38*'Calcs - Power'!$G150+'Emissions Factors'!$C$37*('Calcs - Power'!$H150+'Calcs - Power'!$I150+'Calcs - Power'!$J150+'Calcs - Power'!$K150))</f>
        <v>33232.587850015472</v>
      </c>
      <c r="Z151" s="366">
        <f>(102*'Emissions Factors'!$C$38*'Calcs - Power'!$B150+'Emissions Factors'!$C$37*('Calcs - Power'!$C150+'Calcs - Power'!$D150+'Calcs - Power'!$E150+'Calcs - Power'!$F150))</f>
        <v>2807965.8710724912</v>
      </c>
      <c r="AA151" s="359">
        <f>(102*'Emissions Factors'!$C$36*'Calcs - Power'!$G150+'Emissions Factors'!$C$35*('Calcs - Power'!$H150+'Calcs - Power'!$I150+'Calcs - Power'!$J150+'Calcs - Power'!$K150))</f>
        <v>60873.144580944419</v>
      </c>
      <c r="AB151" s="366">
        <f>(102*'Emissions Factors'!$C$36*'Calcs - Power'!$B150+'Emissions Factors'!$C$35*('Calcs - Power'!$C150+'Calcs - Power'!$D150+'Calcs - Power'!$E150+'Calcs - Power'!$F150))</f>
        <v>4834504.5234622471</v>
      </c>
      <c r="AI151" s="358">
        <f t="shared" si="32"/>
        <v>139</v>
      </c>
      <c r="AJ151" s="359">
        <f>(('Methane Leakage'!$G$6/'Methane Leakage'!$G$5)*102*'Emissions Factors'!$D$10*'Calcs - Power'!$G150+'Emissions Factors'!$D$11*('Calcs - Power'!$H150+'Calcs - Power'!$I150+'Calcs - Power'!$J150+'Calcs - Power'!$K150))</f>
        <v>4558.3829718102725</v>
      </c>
      <c r="AK151" s="366">
        <f>(('Methane Leakage'!$G$6/'Methane Leakage'!$G$5)*102*'Emissions Factors'!$D$10*'Calcs - Power'!$B150+'Emissions Factors'!$D$11*('Calcs - Power'!$C150+'Calcs - Power'!$D150+'Calcs - Power'!$E150+'Calcs - Power'!$F150))</f>
        <v>393655.64666983514</v>
      </c>
      <c r="AL151" s="359">
        <f>(102*'Emissions Factors'!$E$10*'Calcs - Power'!$G150+'Emissions Factors'!$E$11*('Calcs - Power'!H150+'Calcs - Power'!I150+'Calcs - Power'!J150+'Calcs - Power'!K150))</f>
        <v>5419.7940030092459</v>
      </c>
      <c r="AM151" s="366">
        <f>(102*'Emissions Factors'!$E$10*'Calcs - Power'!$B150+'Emissions Factors'!$E$11*('Calcs - Power'!C150+'Calcs - Power'!D150+'Calcs - Power'!E150+'Calcs - Power'!F150))</f>
        <v>432579.2065431496</v>
      </c>
      <c r="AN151" s="359">
        <f>(102*'Emissions Factors'!$D$10*'Calcs - Power'!$G150+'Emissions Factors'!$D$11*('Calcs - Power'!$H150+'Calcs - Power'!$I150+'Calcs - Power'!$J150+'Calcs - Power'!$K150))</f>
        <v>4558.3829718102725</v>
      </c>
      <c r="AO151" s="366">
        <f>(102*'Emissions Factors'!$D$10*'Calcs - Power'!$B150+'Emissions Factors'!$D$11*('Calcs - Power'!$C150+'Calcs - Power'!$D150+'Calcs - Power'!$E150+'Calcs - Power'!$F150))</f>
        <v>393655.64666983514</v>
      </c>
      <c r="AP151" s="367">
        <f>(102*'Emissions Factors'!$E$10*'Calcs - Power'!$G150+'Emissions Factors'!$E$11*('Calcs - Power'!H150+'Calcs - Power'!I150+'Calcs - Power'!J150+'Calcs - Power'!K150))</f>
        <v>5419.7940030092459</v>
      </c>
      <c r="AQ151" s="366">
        <f>(102*'Emissions Factors'!$E$10*'Calcs - Power'!$B150+'Emissions Factors'!$E$11*('Calcs - Power'!C150+'Calcs - Power'!D150+'Calcs - Power'!E150+'Calcs - Power'!F150))</f>
        <v>432579.2065431496</v>
      </c>
      <c r="AS151" s="357"/>
      <c r="AT151" s="357"/>
      <c r="AU151" s="357"/>
      <c r="AV151" s="357"/>
      <c r="AX151" s="358">
        <f t="shared" si="33"/>
        <v>139</v>
      </c>
      <c r="AY151" s="359">
        <f>(('Methane Leakage'!$G$6/'Methane Leakage'!$G$5)*102*'Emissions Factors'!$F$10*'Calcs - Power'!$G150+'Emissions Factors'!$F$11*('Calcs - Power'!$H150+'Calcs - Power'!$I150+'Calcs - Power'!$J150+'Calcs - Power'!$K150))</f>
        <v>6264279.6027888879</v>
      </c>
      <c r="AZ151" s="366">
        <f>(('Methane Leakage'!$G$6/'Methane Leakage'!$G$5)*102*'Emissions Factors'!$F$10*'Calcs - Power'!$B150+'Emissions Factors'!$F$11*('Calcs - Power'!$C150+'Calcs - Power'!$D150+'Calcs - Power'!$E150+'Calcs - Power'!$F150))</f>
        <v>528555977.76112092</v>
      </c>
      <c r="BA151" s="359">
        <f>(102*'Emissions Factors'!$G$10*'Calcs - Power'!$G150+'Emissions Factors'!$G$11*('Calcs - Power'!H150+'Calcs - Power'!I150+'Calcs - Power'!J150+'Calcs - Power'!K150))</f>
        <v>6259917.1975887092</v>
      </c>
      <c r="BB151" s="366">
        <f>(102*'Emissions Factors'!$G$10*'Calcs - Power'!$B150+'Emissions Factors'!$G$11*('Calcs - Power'!C150+'Calcs - Power'!D150+'Calcs - Power'!E150+'Calcs - Power'!F150))</f>
        <v>498333541.40069944</v>
      </c>
      <c r="BC151" s="359">
        <f>(102*'Emissions Factors'!$F$10*'Calcs - Power'!$G150+'Emissions Factors'!$F$11*('Calcs - Power'!$H150+'Calcs - Power'!$I150+'Calcs - Power'!$J150+'Calcs - Power'!$K150))</f>
        <v>6264279.6027888879</v>
      </c>
      <c r="BD151" s="366">
        <f>(102*'Emissions Factors'!$F$10*'Calcs - Power'!$B150+'Emissions Factors'!$F$11*('Calcs - Power'!$C150+'Calcs - Power'!$D150+'Calcs - Power'!$E150+'Calcs - Power'!$F150))</f>
        <v>528555977.76112092</v>
      </c>
      <c r="BE151" s="359">
        <f>(102*'Emissions Factors'!$G$10*'Calcs - Power'!$G150+'Emissions Factors'!$G$11*('Calcs - Power'!H150+'Calcs - Power'!I150+'Calcs - Power'!J150+'Calcs - Power'!K150))</f>
        <v>6259917.1975887092</v>
      </c>
      <c r="BF151" s="366">
        <f>(102*'Emissions Factors'!$G$10*'Calcs - Power'!$B150+'Emissions Factors'!$G$11*('Calcs - Power'!C150+'Calcs - Power'!D150+'Calcs - Power'!E150+'Calcs - Power'!F150))</f>
        <v>498333541.40069944</v>
      </c>
    </row>
    <row r="152" spans="1:58" x14ac:dyDescent="0.3">
      <c r="A152" s="351">
        <f t="shared" si="30"/>
        <v>140</v>
      </c>
      <c r="B152" s="352">
        <f t="shared" si="24"/>
        <v>1</v>
      </c>
      <c r="C152" s="363">
        <f t="shared" si="25"/>
        <v>0.99999999999999989</v>
      </c>
      <c r="D152" s="352">
        <f t="shared" si="26"/>
        <v>1</v>
      </c>
      <c r="E152" s="364">
        <f t="shared" si="27"/>
        <v>1</v>
      </c>
      <c r="F152" s="364">
        <f t="shared" si="28"/>
        <v>1</v>
      </c>
      <c r="G152" s="365">
        <f t="shared" si="29"/>
        <v>1</v>
      </c>
      <c r="P152" s="358">
        <f t="shared" si="31"/>
        <v>140</v>
      </c>
      <c r="Q152" s="359">
        <f>(('Methane Leakage'!$C$6/'Methane Leakage'!$C$5)*102*'Emissions Factors'!$C$38*'Calcs - Power'!$G151+'Emissions Factors'!$C$37*('Calcs - Power'!$H151+'Calcs - Power'!$I151+'Calcs - Power'!$J151+'Calcs - Power'!$K151))</f>
        <v>33391.031861167823</v>
      </c>
      <c r="R152" s="366">
        <f>(('Methane Leakage'!$C$6/'Methane Leakage'!$C$5)*102*'Emissions Factors'!$C$38*'Calcs - Power'!$B151+'Emissions Factors'!$C$37*('Calcs - Power'!$C151+'Calcs - Power'!$D151+'Calcs - Power'!$E151+'Calcs - Power'!$F151))</f>
        <v>2841277.7078601653</v>
      </c>
      <c r="S152" s="359">
        <f>(('Methane Leakage'!$C$6/'Methane Leakage'!$C$5)*102*'Emissions Factors'!$D$38*'Calcs - Power'!$G151+'Emissions Factors'!$D$37*('Calcs - Power'!$H151+'Calcs - Power'!$I151+'Calcs - Power'!$J151+'Calcs - Power'!$K151))</f>
        <v>33391.031861167823</v>
      </c>
      <c r="T152" s="366">
        <f>(('Methane Leakage'!$C$6/'Methane Leakage'!$C$5)*102*'Emissions Factors'!$D$38*'Calcs - Power'!$B151+'Emissions Factors'!$D$37*('Calcs - Power'!$C151+'Calcs - Power'!$D151+'Calcs - Power'!$E151+'Calcs - Power'!$F151))</f>
        <v>2841277.7078601653</v>
      </c>
      <c r="U152" s="361">
        <f>(102*'Emissions Factors'!$C$36*'Calcs - Power'!$G151+'Emissions Factors'!$C$35*('Calcs - Power'!$H151+'Calcs - Power'!$I151+'Calcs - Power'!$J151+'Calcs - Power'!$K151))</f>
        <v>61198.016823910846</v>
      </c>
      <c r="V152" s="366">
        <f>(102*'Emissions Factors'!$C$36*'Calcs - Power'!$B151+'Emissions Factors'!$C$35*('Calcs - Power'!$C151+'Calcs - Power'!$D151+'Calcs - Power'!$E151+'Calcs - Power'!$F151))</f>
        <v>4895540.1593493</v>
      </c>
      <c r="W152" s="359">
        <f>(102*'Emissions Factors'!$D$36*'Calcs - Power'!$G151+'Emissions Factors'!$D$35*('Calcs - Power'!$H151+'Calcs - Power'!$I151+'Calcs - Power'!$J151+'Calcs - Power'!$K151))</f>
        <v>61198.016823910846</v>
      </c>
      <c r="X152" s="366">
        <f>(102*'Emissions Factors'!$D$36*'Calcs - Power'!$B151+'Emissions Factors'!$D$35*('Calcs - Power'!$C151+'Calcs - Power'!$D151+'Calcs - Power'!$E151+'Calcs - Power'!$F151))</f>
        <v>4895540.1593493</v>
      </c>
      <c r="Y152" s="359">
        <f>(102*'Emissions Factors'!$C$38*'Calcs - Power'!$G151+'Emissions Factors'!$C$37*('Calcs - Power'!$H151+'Calcs - Power'!$I151+'Calcs - Power'!$J151+'Calcs - Power'!$K151))</f>
        <v>33391.031861167823</v>
      </c>
      <c r="Z152" s="366">
        <f>(102*'Emissions Factors'!$C$38*'Calcs - Power'!$B151+'Emissions Factors'!$C$37*('Calcs - Power'!$C151+'Calcs - Power'!$D151+'Calcs - Power'!$E151+'Calcs - Power'!$F151))</f>
        <v>2841277.7078601653</v>
      </c>
      <c r="AA152" s="359">
        <f>(102*'Emissions Factors'!$C$36*'Calcs - Power'!$G151+'Emissions Factors'!$C$35*('Calcs - Power'!$H151+'Calcs - Power'!$I151+'Calcs - Power'!$J151+'Calcs - Power'!$K151))</f>
        <v>61198.016823910846</v>
      </c>
      <c r="AB152" s="366">
        <f>(102*'Emissions Factors'!$C$36*'Calcs - Power'!$B151+'Emissions Factors'!$C$35*('Calcs - Power'!$C151+'Calcs - Power'!$D151+'Calcs - Power'!$E151+'Calcs - Power'!$F151))</f>
        <v>4895540.1593493</v>
      </c>
      <c r="AI152" s="358">
        <f t="shared" si="32"/>
        <v>140</v>
      </c>
      <c r="AJ152" s="359">
        <f>(('Methane Leakage'!$G$6/'Methane Leakage'!$G$5)*102*'Emissions Factors'!$D$10*'Calcs - Power'!$G151+'Emissions Factors'!$D$11*('Calcs - Power'!$H151+'Calcs - Power'!$I151+'Calcs - Power'!$J151+'Calcs - Power'!$K151))</f>
        <v>4579.1630897447867</v>
      </c>
      <c r="AK152" s="366">
        <f>(('Methane Leakage'!$G$6/'Methane Leakage'!$G$5)*102*'Emissions Factors'!$D$10*'Calcs - Power'!$B151+'Emissions Factors'!$D$11*('Calcs - Power'!$C151+'Calcs - Power'!$D151+'Calcs - Power'!$E151+'Calcs - Power'!$F151))</f>
        <v>398224.42323379603</v>
      </c>
      <c r="AL152" s="359">
        <f>(102*'Emissions Factors'!$E$10*'Calcs - Power'!$G151+'Emissions Factors'!$E$11*('Calcs - Power'!H151+'Calcs - Power'!I151+'Calcs - Power'!J151+'Calcs - Power'!K151))</f>
        <v>5448.4784507747327</v>
      </c>
      <c r="AM152" s="366">
        <f>(102*'Emissions Factors'!$E$10*'Calcs - Power'!$B151+'Emissions Factors'!$E$11*('Calcs - Power'!C151+'Calcs - Power'!D151+'Calcs - Power'!E151+'Calcs - Power'!F151))</f>
        <v>438013.3476427705</v>
      </c>
      <c r="AN152" s="359">
        <f>(102*'Emissions Factors'!$D$10*'Calcs - Power'!$G151+'Emissions Factors'!$D$11*('Calcs - Power'!$H151+'Calcs - Power'!$I151+'Calcs - Power'!$J151+'Calcs - Power'!$K151))</f>
        <v>4579.1630897447867</v>
      </c>
      <c r="AO152" s="366">
        <f>(102*'Emissions Factors'!$D$10*'Calcs - Power'!$B151+'Emissions Factors'!$D$11*('Calcs - Power'!$C151+'Calcs - Power'!$D151+'Calcs - Power'!$E151+'Calcs - Power'!$F151))</f>
        <v>398224.42323379603</v>
      </c>
      <c r="AP152" s="367">
        <f>(102*'Emissions Factors'!$E$10*'Calcs - Power'!$G151+'Emissions Factors'!$E$11*('Calcs - Power'!H151+'Calcs - Power'!I151+'Calcs - Power'!J151+'Calcs - Power'!K151))</f>
        <v>5448.4784507747327</v>
      </c>
      <c r="AQ152" s="366">
        <f>(102*'Emissions Factors'!$E$10*'Calcs - Power'!$B151+'Emissions Factors'!$E$11*('Calcs - Power'!C151+'Calcs - Power'!D151+'Calcs - Power'!E151+'Calcs - Power'!F151))</f>
        <v>438013.3476427705</v>
      </c>
      <c r="AS152" s="357"/>
      <c r="AT152" s="357"/>
      <c r="AU152" s="357"/>
      <c r="AV152" s="357"/>
      <c r="AX152" s="358">
        <f t="shared" si="33"/>
        <v>140</v>
      </c>
      <c r="AY152" s="359">
        <f>(('Methane Leakage'!$G$6/'Methane Leakage'!$G$5)*102*'Emissions Factors'!$F$10*'Calcs - Power'!$G151+'Emissions Factors'!$F$11*('Calcs - Power'!$H151+'Calcs - Power'!$I151+'Calcs - Power'!$J151+'Calcs - Power'!$K151))</f>
        <v>6294229.0134399319</v>
      </c>
      <c r="AZ152" s="366">
        <f>(('Methane Leakage'!$G$6/'Methane Leakage'!$G$5)*102*'Emissions Factors'!$F$10*'Calcs - Power'!$B151+'Emissions Factors'!$F$11*('Calcs - Power'!$C151+'Calcs - Power'!$D151+'Calcs - Power'!$E151+'Calcs - Power'!$F151))</f>
        <v>534835237.15990472</v>
      </c>
      <c r="BA152" s="359">
        <f>(102*'Emissions Factors'!$G$10*'Calcs - Power'!$G151+'Emissions Factors'!$G$11*('Calcs - Power'!H151+'Calcs - Power'!I151+'Calcs - Power'!J151+'Calcs - Power'!K151))</f>
        <v>6293193.7985983836</v>
      </c>
      <c r="BB152" s="366">
        <f>(102*'Emissions Factors'!$G$10*'Calcs - Power'!$B151+'Emissions Factors'!$G$11*('Calcs - Power'!C151+'Calcs - Power'!D151+'Calcs - Power'!E151+'Calcs - Power'!F151))</f>
        <v>504610102.55146819</v>
      </c>
      <c r="BC152" s="359">
        <f>(102*'Emissions Factors'!$F$10*'Calcs - Power'!$G151+'Emissions Factors'!$F$11*('Calcs - Power'!$H151+'Calcs - Power'!$I151+'Calcs - Power'!$J151+'Calcs - Power'!$K151))</f>
        <v>6294229.0134399319</v>
      </c>
      <c r="BD152" s="366">
        <f>(102*'Emissions Factors'!$F$10*'Calcs - Power'!$B151+'Emissions Factors'!$F$11*('Calcs - Power'!$C151+'Calcs - Power'!$D151+'Calcs - Power'!$E151+'Calcs - Power'!$F151))</f>
        <v>534835237.15990472</v>
      </c>
      <c r="BE152" s="359">
        <f>(102*'Emissions Factors'!$G$10*'Calcs - Power'!$G151+'Emissions Factors'!$G$11*('Calcs - Power'!H151+'Calcs - Power'!I151+'Calcs - Power'!J151+'Calcs - Power'!K151))</f>
        <v>6293193.7985983836</v>
      </c>
      <c r="BF152" s="366">
        <f>(102*'Emissions Factors'!$G$10*'Calcs - Power'!$B151+'Emissions Factors'!$G$11*('Calcs - Power'!C151+'Calcs - Power'!D151+'Calcs - Power'!E151+'Calcs - Power'!F151))</f>
        <v>504610102.55146819</v>
      </c>
    </row>
    <row r="153" spans="1:58" x14ac:dyDescent="0.3">
      <c r="A153" s="351">
        <f t="shared" si="30"/>
        <v>141</v>
      </c>
      <c r="B153" s="352">
        <f t="shared" si="24"/>
        <v>0.99999999999999978</v>
      </c>
      <c r="C153" s="363">
        <f t="shared" si="25"/>
        <v>0.99999999999999989</v>
      </c>
      <c r="D153" s="352">
        <f t="shared" si="26"/>
        <v>1</v>
      </c>
      <c r="E153" s="364">
        <f t="shared" si="27"/>
        <v>1</v>
      </c>
      <c r="F153" s="364">
        <f t="shared" si="28"/>
        <v>1</v>
      </c>
      <c r="G153" s="365">
        <f t="shared" si="29"/>
        <v>1</v>
      </c>
      <c r="P153" s="358">
        <f t="shared" si="31"/>
        <v>141</v>
      </c>
      <c r="Q153" s="359">
        <f>(('Methane Leakage'!$C$6/'Methane Leakage'!$C$5)*102*'Emissions Factors'!$C$38*'Calcs - Power'!$G152+'Emissions Factors'!$C$37*('Calcs - Power'!$H152+'Calcs - Power'!$I152+'Calcs - Power'!$J152+'Calcs - Power'!$K152))</f>
        <v>33549.1537387188</v>
      </c>
      <c r="R153" s="366">
        <f>(('Methane Leakage'!$C$6/'Methane Leakage'!$C$5)*102*'Emissions Factors'!$C$38*'Calcs - Power'!$B152+'Emissions Factors'!$C$37*('Calcs - Power'!$C152+'Calcs - Power'!$D152+'Calcs - Power'!$E152+'Calcs - Power'!$F152))</f>
        <v>2874747.8274172428</v>
      </c>
      <c r="S153" s="359">
        <f>(('Methane Leakage'!$C$6/'Methane Leakage'!$C$5)*102*'Emissions Factors'!$D$38*'Calcs - Power'!$G152+'Emissions Factors'!$D$37*('Calcs - Power'!$H152+'Calcs - Power'!$I152+'Calcs - Power'!$J152+'Calcs - Power'!$K152))</f>
        <v>33549.1537387188</v>
      </c>
      <c r="T153" s="366">
        <f>(('Methane Leakage'!$C$6/'Methane Leakage'!$C$5)*102*'Emissions Factors'!$D$38*'Calcs - Power'!$B152+'Emissions Factors'!$D$37*('Calcs - Power'!$C152+'Calcs - Power'!$D152+'Calcs - Power'!$E152+'Calcs - Power'!$F152))</f>
        <v>2874747.8274172428</v>
      </c>
      <c r="U153" s="361">
        <f>(102*'Emissions Factors'!$C$36*'Calcs - Power'!$G152+'Emissions Factors'!$C$35*('Calcs - Power'!$H152+'Calcs - Power'!$I152+'Calcs - Power'!$J152+'Calcs - Power'!$K152))</f>
        <v>61522.228988928815</v>
      </c>
      <c r="V153" s="366">
        <f>(102*'Emissions Factors'!$C$36*'Calcs - Power'!$B152+'Emissions Factors'!$C$35*('Calcs - Power'!$C152+'Calcs - Power'!$D152+'Calcs - Power'!$E152+'Calcs - Power'!$F152))</f>
        <v>4956900.3370846324</v>
      </c>
      <c r="W153" s="359">
        <f>(102*'Emissions Factors'!$D$36*'Calcs - Power'!$G152+'Emissions Factors'!$D$35*('Calcs - Power'!$H152+'Calcs - Power'!$I152+'Calcs - Power'!$J152+'Calcs - Power'!$K152))</f>
        <v>61522.228988928815</v>
      </c>
      <c r="X153" s="366">
        <f>(102*'Emissions Factors'!$D$36*'Calcs - Power'!$B152+'Emissions Factors'!$D$35*('Calcs - Power'!$C152+'Calcs - Power'!$D152+'Calcs - Power'!$E152+'Calcs - Power'!$F152))</f>
        <v>4956900.3370846324</v>
      </c>
      <c r="Y153" s="359">
        <f>(102*'Emissions Factors'!$C$38*'Calcs - Power'!$G152+'Emissions Factors'!$C$37*('Calcs - Power'!$H152+'Calcs - Power'!$I152+'Calcs - Power'!$J152+'Calcs - Power'!$K152))</f>
        <v>33549.1537387188</v>
      </c>
      <c r="Z153" s="366">
        <f>(102*'Emissions Factors'!$C$38*'Calcs - Power'!$B152+'Emissions Factors'!$C$37*('Calcs - Power'!$C152+'Calcs - Power'!$D152+'Calcs - Power'!$E152+'Calcs - Power'!$F152))</f>
        <v>2874747.8274172428</v>
      </c>
      <c r="AA153" s="359">
        <f>(102*'Emissions Factors'!$C$36*'Calcs - Power'!$G152+'Emissions Factors'!$C$35*('Calcs - Power'!$H152+'Calcs - Power'!$I152+'Calcs - Power'!$J152+'Calcs - Power'!$K152))</f>
        <v>61522.228988928815</v>
      </c>
      <c r="AB153" s="366">
        <f>(102*'Emissions Factors'!$C$36*'Calcs - Power'!$B152+'Emissions Factors'!$C$35*('Calcs - Power'!$C152+'Calcs - Power'!$D152+'Calcs - Power'!$E152+'Calcs - Power'!$F152))</f>
        <v>4956900.3370846324</v>
      </c>
      <c r="AI153" s="358">
        <f t="shared" si="32"/>
        <v>141</v>
      </c>
      <c r="AJ153" s="359">
        <f>(('Methane Leakage'!$G$6/'Methane Leakage'!$G$5)*102*'Emissions Factors'!$D$10*'Calcs - Power'!$G152+'Emissions Factors'!$D$11*('Calcs - Power'!$H152+'Calcs - Power'!$I152+'Calcs - Power'!$J152+'Calcs - Power'!$K152))</f>
        <v>4599.9009478705248</v>
      </c>
      <c r="AK153" s="366">
        <f>(('Methane Leakage'!$G$6/'Methane Leakage'!$G$5)*102*'Emissions Factors'!$D$10*'Calcs - Power'!$B152+'Emissions Factors'!$D$11*('Calcs - Power'!$C152+'Calcs - Power'!$D152+'Calcs - Power'!$E152+'Calcs - Power'!$F152))</f>
        <v>402813.95876275981</v>
      </c>
      <c r="AL153" s="359">
        <f>(102*'Emissions Factors'!$E$10*'Calcs - Power'!$G152+'Emissions Factors'!$E$11*('Calcs - Power'!H152+'Calcs - Power'!I152+'Calcs - Power'!J152+'Calcs - Power'!K152))</f>
        <v>5477.1046146412327</v>
      </c>
      <c r="AM153" s="366">
        <f>(102*'Emissions Factors'!$E$10*'Calcs - Power'!$B152+'Emissions Factors'!$E$11*('Calcs - Power'!C152+'Calcs - Power'!D152+'Calcs - Power'!E152+'Calcs - Power'!F152))</f>
        <v>443476.14401678118</v>
      </c>
      <c r="AN153" s="359">
        <f>(102*'Emissions Factors'!$D$10*'Calcs - Power'!$G152+'Emissions Factors'!$D$11*('Calcs - Power'!$H152+'Calcs - Power'!$I152+'Calcs - Power'!$J152+'Calcs - Power'!$K152))</f>
        <v>4599.9009478705248</v>
      </c>
      <c r="AO153" s="366">
        <f>(102*'Emissions Factors'!$D$10*'Calcs - Power'!$B152+'Emissions Factors'!$D$11*('Calcs - Power'!$C152+'Calcs - Power'!$D152+'Calcs - Power'!$E152+'Calcs - Power'!$F152))</f>
        <v>402813.95876275981</v>
      </c>
      <c r="AP153" s="367">
        <f>(102*'Emissions Factors'!$E$10*'Calcs - Power'!$G152+'Emissions Factors'!$E$11*('Calcs - Power'!H152+'Calcs - Power'!I152+'Calcs - Power'!J152+'Calcs - Power'!K152))</f>
        <v>5477.1046146412327</v>
      </c>
      <c r="AQ153" s="366">
        <f>(102*'Emissions Factors'!$E$10*'Calcs - Power'!$B152+'Emissions Factors'!$E$11*('Calcs - Power'!C152+'Calcs - Power'!D152+'Calcs - Power'!E152+'Calcs - Power'!F152))</f>
        <v>443476.14401678118</v>
      </c>
      <c r="AS153" s="357"/>
      <c r="AT153" s="357"/>
      <c r="AU153" s="357"/>
      <c r="AV153" s="357"/>
      <c r="AX153" s="358">
        <f t="shared" si="33"/>
        <v>141</v>
      </c>
      <c r="AY153" s="359">
        <f>(('Methane Leakage'!$G$6/'Methane Leakage'!$G$5)*102*'Emissions Factors'!$F$10*'Calcs - Power'!$G152+'Emissions Factors'!$F$11*('Calcs - Power'!$H152+'Calcs - Power'!$I152+'Calcs - Power'!$J152+'Calcs - Power'!$K152))</f>
        <v>6324117.5347508471</v>
      </c>
      <c r="AZ153" s="366">
        <f>(('Methane Leakage'!$G$6/'Methane Leakage'!$G$5)*102*'Emissions Factors'!$F$10*'Calcs - Power'!$B152+'Emissions Factors'!$F$11*('Calcs - Power'!$C152+'Calcs - Power'!$D152+'Calcs - Power'!$E152+'Calcs - Power'!$F152))</f>
        <v>541144415.49160743</v>
      </c>
      <c r="BA153" s="359">
        <f>(102*'Emissions Factors'!$G$10*'Calcs - Power'!$G152+'Emissions Factors'!$G$11*('Calcs - Power'!H152+'Calcs - Power'!I152+'Calcs - Power'!J152+'Calcs - Power'!K152))</f>
        <v>6326402.7865173826</v>
      </c>
      <c r="BB153" s="366">
        <f>(102*'Emissions Factors'!$G$10*'Calcs - Power'!$B152+'Emissions Factors'!$G$11*('Calcs - Power'!C152+'Calcs - Power'!D152+'Calcs - Power'!E152+'Calcs - Power'!F152))</f>
        <v>510919906.46025544</v>
      </c>
      <c r="BC153" s="359">
        <f>(102*'Emissions Factors'!$F$10*'Calcs - Power'!$G152+'Emissions Factors'!$F$11*('Calcs - Power'!$H152+'Calcs - Power'!$I152+'Calcs - Power'!$J152+'Calcs - Power'!$K152))</f>
        <v>6324117.5347508471</v>
      </c>
      <c r="BD153" s="366">
        <f>(102*'Emissions Factors'!$F$10*'Calcs - Power'!$B152+'Emissions Factors'!$F$11*('Calcs - Power'!$C152+'Calcs - Power'!$D152+'Calcs - Power'!$E152+'Calcs - Power'!$F152))</f>
        <v>541144415.49160743</v>
      </c>
      <c r="BE153" s="359">
        <f>(102*'Emissions Factors'!$G$10*'Calcs - Power'!$G152+'Emissions Factors'!$G$11*('Calcs - Power'!H152+'Calcs - Power'!I152+'Calcs - Power'!J152+'Calcs - Power'!K152))</f>
        <v>6326402.7865173826</v>
      </c>
      <c r="BF153" s="366">
        <f>(102*'Emissions Factors'!$G$10*'Calcs - Power'!$B152+'Emissions Factors'!$G$11*('Calcs - Power'!C152+'Calcs - Power'!D152+'Calcs - Power'!E152+'Calcs - Power'!F152))</f>
        <v>510919906.46025544</v>
      </c>
    </row>
    <row r="154" spans="1:58" x14ac:dyDescent="0.3">
      <c r="A154" s="351">
        <f t="shared" si="30"/>
        <v>142</v>
      </c>
      <c r="B154" s="352">
        <f t="shared" si="24"/>
        <v>1</v>
      </c>
      <c r="C154" s="363">
        <f t="shared" si="25"/>
        <v>0.99999999999999989</v>
      </c>
      <c r="D154" s="352">
        <f t="shared" si="26"/>
        <v>1</v>
      </c>
      <c r="E154" s="364">
        <f t="shared" si="27"/>
        <v>1</v>
      </c>
      <c r="F154" s="364">
        <f t="shared" si="28"/>
        <v>1</v>
      </c>
      <c r="G154" s="365">
        <f t="shared" si="29"/>
        <v>1</v>
      </c>
      <c r="P154" s="358">
        <f t="shared" si="31"/>
        <v>142</v>
      </c>
      <c r="Q154" s="359">
        <f>(('Methane Leakage'!$C$6/'Methane Leakage'!$C$5)*102*'Emissions Factors'!$C$38*'Calcs - Power'!$G153+'Emissions Factors'!$C$37*('Calcs - Power'!$H153+'Calcs - Power'!$I153+'Calcs - Power'!$J153+'Calcs - Power'!$K153))</f>
        <v>33706.955569505299</v>
      </c>
      <c r="R154" s="366">
        <f>(('Methane Leakage'!$C$6/'Methane Leakage'!$C$5)*102*'Emissions Factors'!$C$38*'Calcs - Power'!$B153+'Emissions Factors'!$C$37*('Calcs - Power'!$C153+'Calcs - Power'!$D153+'Calcs - Power'!$E153+'Calcs - Power'!$F153))</f>
        <v>2908375.9086556206</v>
      </c>
      <c r="S154" s="359">
        <f>(('Methane Leakage'!$C$6/'Methane Leakage'!$C$5)*102*'Emissions Factors'!$D$38*'Calcs - Power'!$G153+'Emissions Factors'!$D$37*('Calcs - Power'!$H153+'Calcs - Power'!$I153+'Calcs - Power'!$J153+'Calcs - Power'!$K153))</f>
        <v>33706.955569505299</v>
      </c>
      <c r="T154" s="366">
        <f>(('Methane Leakage'!$C$6/'Methane Leakage'!$C$5)*102*'Emissions Factors'!$D$38*'Calcs - Power'!$B153+'Emissions Factors'!$D$37*('Calcs - Power'!$C153+'Calcs - Power'!$D153+'Calcs - Power'!$E153+'Calcs - Power'!$F153))</f>
        <v>2908375.9086556206</v>
      </c>
      <c r="U154" s="361">
        <f>(102*'Emissions Factors'!$C$36*'Calcs - Power'!$G153+'Emissions Factors'!$C$35*('Calcs - Power'!$H153+'Calcs - Power'!$I153+'Calcs - Power'!$J153+'Calcs - Power'!$K153))</f>
        <v>61845.785320278272</v>
      </c>
      <c r="V154" s="366">
        <f>(102*'Emissions Factors'!$C$36*'Calcs - Power'!$B153+'Emissions Factors'!$C$35*('Calcs - Power'!$C153+'Calcs - Power'!$D153+'Calcs - Power'!$E153+'Calcs - Power'!$F153))</f>
        <v>5018584.3987164628</v>
      </c>
      <c r="W154" s="359">
        <f>(102*'Emissions Factors'!$D$36*'Calcs - Power'!$G153+'Emissions Factors'!$D$35*('Calcs - Power'!$H153+'Calcs - Power'!$I153+'Calcs - Power'!$J153+'Calcs - Power'!$K153))</f>
        <v>61845.785320278272</v>
      </c>
      <c r="X154" s="366">
        <f>(102*'Emissions Factors'!$D$36*'Calcs - Power'!$B153+'Emissions Factors'!$D$35*('Calcs - Power'!$C153+'Calcs - Power'!$D153+'Calcs - Power'!$E153+'Calcs - Power'!$F153))</f>
        <v>5018584.3987164628</v>
      </c>
      <c r="Y154" s="359">
        <f>(102*'Emissions Factors'!$C$38*'Calcs - Power'!$G153+'Emissions Factors'!$C$37*('Calcs - Power'!$H153+'Calcs - Power'!$I153+'Calcs - Power'!$J153+'Calcs - Power'!$K153))</f>
        <v>33706.955569505299</v>
      </c>
      <c r="Z154" s="366">
        <f>(102*'Emissions Factors'!$C$38*'Calcs - Power'!$B153+'Emissions Factors'!$C$37*('Calcs - Power'!$C153+'Calcs - Power'!$D153+'Calcs - Power'!$E153+'Calcs - Power'!$F153))</f>
        <v>2908375.9086556206</v>
      </c>
      <c r="AA154" s="359">
        <f>(102*'Emissions Factors'!$C$36*'Calcs - Power'!$G153+'Emissions Factors'!$C$35*('Calcs - Power'!$H153+'Calcs - Power'!$I153+'Calcs - Power'!$J153+'Calcs - Power'!$K153))</f>
        <v>61845.785320278272</v>
      </c>
      <c r="AB154" s="366">
        <f>(102*'Emissions Factors'!$C$36*'Calcs - Power'!$B153+'Emissions Factors'!$C$35*('Calcs - Power'!$C153+'Calcs - Power'!$D153+'Calcs - Power'!$E153+'Calcs - Power'!$F153))</f>
        <v>5018584.3987164628</v>
      </c>
      <c r="AI154" s="358">
        <f t="shared" si="32"/>
        <v>142</v>
      </c>
      <c r="AJ154" s="359">
        <f>(('Methane Leakage'!$G$6/'Methane Leakage'!$G$5)*102*'Emissions Factors'!$D$10*'Calcs - Power'!$G153+'Emissions Factors'!$D$11*('Calcs - Power'!$H153+'Calcs - Power'!$I153+'Calcs - Power'!$J153+'Calcs - Power'!$K153))</f>
        <v>4620.5968208290597</v>
      </c>
      <c r="AK154" s="366">
        <f>(('Methane Leakage'!$G$6/'Methane Leakage'!$G$5)*102*'Emissions Factors'!$D$10*'Calcs - Power'!$B153+'Emissions Factors'!$D$11*('Calcs - Power'!$C153+'Calcs - Power'!$D153+'Calcs - Power'!$E153+'Calcs - Power'!$F153))</f>
        <v>407424.21113451791</v>
      </c>
      <c r="AL154" s="359">
        <f>(102*'Emissions Factors'!$E$10*'Calcs - Power'!$G153+'Emissions Factors'!$E$11*('Calcs - Power'!H153+'Calcs - Power'!I153+'Calcs - Power'!J153+'Calcs - Power'!K153))</f>
        <v>5505.6728695696247</v>
      </c>
      <c r="AM154" s="366">
        <f>(102*'Emissions Factors'!$E$10*'Calcs - Power'!$B153+'Emissions Factors'!$E$11*('Calcs - Power'!C153+'Calcs - Power'!D153+'Calcs - Power'!E153+'Calcs - Power'!F153))</f>
        <v>448967.53756912035</v>
      </c>
      <c r="AN154" s="359">
        <f>(102*'Emissions Factors'!$D$10*'Calcs - Power'!$G153+'Emissions Factors'!$D$11*('Calcs - Power'!$H153+'Calcs - Power'!$I153+'Calcs - Power'!$J153+'Calcs - Power'!$K153))</f>
        <v>4620.5968208290597</v>
      </c>
      <c r="AO154" s="366">
        <f>(102*'Emissions Factors'!$D$10*'Calcs - Power'!$B153+'Emissions Factors'!$D$11*('Calcs - Power'!$C153+'Calcs - Power'!$D153+'Calcs - Power'!$E153+'Calcs - Power'!$F153))</f>
        <v>407424.21113451791</v>
      </c>
      <c r="AP154" s="367">
        <f>(102*'Emissions Factors'!$E$10*'Calcs - Power'!$G153+'Emissions Factors'!$E$11*('Calcs - Power'!H153+'Calcs - Power'!I153+'Calcs - Power'!J153+'Calcs - Power'!K153))</f>
        <v>5505.6728695696247</v>
      </c>
      <c r="AQ154" s="366">
        <f>(102*'Emissions Factors'!$E$10*'Calcs - Power'!$B153+'Emissions Factors'!$E$11*('Calcs - Power'!C153+'Calcs - Power'!D153+'Calcs - Power'!E153+'Calcs - Power'!F153))</f>
        <v>448967.53756912035</v>
      </c>
      <c r="AS154" s="357"/>
      <c r="AT154" s="357"/>
      <c r="AU154" s="357"/>
      <c r="AV154" s="357"/>
      <c r="AX154" s="358">
        <f t="shared" si="33"/>
        <v>142</v>
      </c>
      <c r="AY154" s="359">
        <f>(('Methane Leakage'!$G$6/'Methane Leakage'!$G$5)*102*'Emissions Factors'!$F$10*'Calcs - Power'!$G153+'Emissions Factors'!$F$11*('Calcs - Power'!$H153+'Calcs - Power'!$I153+'Calcs - Power'!$J153+'Calcs - Power'!$K153))</f>
        <v>6353945.561097011</v>
      </c>
      <c r="AZ154" s="366">
        <f>(('Methane Leakage'!$G$6/'Methane Leakage'!$G$5)*102*'Emissions Factors'!$F$10*'Calcs - Power'!$B153+'Emissions Factors'!$F$11*('Calcs - Power'!$C153+'Calcs - Power'!$D153+'Calcs - Power'!$E153+'Calcs - Power'!$F153))</f>
        <v>547483452.06446958</v>
      </c>
      <c r="BA154" s="359">
        <f>(102*'Emissions Factors'!$G$10*'Calcs - Power'!$G153+'Emissions Factors'!$G$11*('Calcs - Power'!H153+'Calcs - Power'!I153+'Calcs - Power'!J153+'Calcs - Power'!K153))</f>
        <v>6359544.5962038944</v>
      </c>
      <c r="BB154" s="366">
        <f>(102*'Emissions Factors'!$G$10*'Calcs - Power'!$B153+'Emissions Factors'!$G$11*('Calcs - Power'!C153+'Calcs - Power'!D153+'Calcs - Power'!E153+'Calcs - Power'!F153))</f>
        <v>517262885.73181295</v>
      </c>
      <c r="BC154" s="359">
        <f>(102*'Emissions Factors'!$F$10*'Calcs - Power'!$G153+'Emissions Factors'!$F$11*('Calcs - Power'!$H153+'Calcs - Power'!$I153+'Calcs - Power'!$J153+'Calcs - Power'!$K153))</f>
        <v>6353945.561097011</v>
      </c>
      <c r="BD154" s="366">
        <f>(102*'Emissions Factors'!$F$10*'Calcs - Power'!$B153+'Emissions Factors'!$F$11*('Calcs - Power'!$C153+'Calcs - Power'!$D153+'Calcs - Power'!$E153+'Calcs - Power'!$F153))</f>
        <v>547483452.06446958</v>
      </c>
      <c r="BE154" s="359">
        <f>(102*'Emissions Factors'!$G$10*'Calcs - Power'!$G153+'Emissions Factors'!$G$11*('Calcs - Power'!H153+'Calcs - Power'!I153+'Calcs - Power'!J153+'Calcs - Power'!K153))</f>
        <v>6359544.5962038944</v>
      </c>
      <c r="BF154" s="366">
        <f>(102*'Emissions Factors'!$G$10*'Calcs - Power'!$B153+'Emissions Factors'!$G$11*('Calcs - Power'!C153+'Calcs - Power'!D153+'Calcs - Power'!E153+'Calcs - Power'!F153))</f>
        <v>517262885.73181295</v>
      </c>
    </row>
    <row r="155" spans="1:58" x14ac:dyDescent="0.3">
      <c r="A155" s="351">
        <f t="shared" si="30"/>
        <v>143</v>
      </c>
      <c r="B155" s="352">
        <f t="shared" si="24"/>
        <v>1</v>
      </c>
      <c r="C155" s="363">
        <f t="shared" si="25"/>
        <v>0.99999999999999989</v>
      </c>
      <c r="D155" s="352">
        <f t="shared" si="26"/>
        <v>1</v>
      </c>
      <c r="E155" s="364">
        <f t="shared" si="27"/>
        <v>1</v>
      </c>
      <c r="F155" s="364">
        <f t="shared" si="28"/>
        <v>1</v>
      </c>
      <c r="G155" s="365">
        <f t="shared" si="29"/>
        <v>1</v>
      </c>
      <c r="P155" s="358">
        <f t="shared" si="31"/>
        <v>143</v>
      </c>
      <c r="Q155" s="359">
        <f>(('Methane Leakage'!$C$6/'Methane Leakage'!$C$5)*102*'Emissions Factors'!$C$38*'Calcs - Power'!$G154+'Emissions Factors'!$C$37*('Calcs - Power'!$H154+'Calcs - Power'!$I154+'Calcs - Power'!$J154+'Calcs - Power'!$K154))</f>
        <v>33864.439415796078</v>
      </c>
      <c r="R155" s="366">
        <f>(('Methane Leakage'!$C$6/'Methane Leakage'!$C$5)*102*'Emissions Factors'!$C$38*'Calcs - Power'!$B154+'Emissions Factors'!$C$37*('Calcs - Power'!$C154+'Calcs - Power'!$D154+'Calcs - Power'!$E154+'Calcs - Power'!$F154))</f>
        <v>2942161.6325616851</v>
      </c>
      <c r="S155" s="359">
        <f>(('Methane Leakage'!$C$6/'Methane Leakage'!$C$5)*102*'Emissions Factors'!$D$38*'Calcs - Power'!$G154+'Emissions Factors'!$D$37*('Calcs - Power'!$H154+'Calcs - Power'!$I154+'Calcs - Power'!$J154+'Calcs - Power'!$K154))</f>
        <v>33864.439415796078</v>
      </c>
      <c r="T155" s="366">
        <f>(('Methane Leakage'!$C$6/'Methane Leakage'!$C$5)*102*'Emissions Factors'!$D$38*'Calcs - Power'!$B154+'Emissions Factors'!$D$37*('Calcs - Power'!$C154+'Calcs - Power'!$D154+'Calcs - Power'!$E154+'Calcs - Power'!$F154))</f>
        <v>2942161.6325616851</v>
      </c>
      <c r="U155" s="361">
        <f>(102*'Emissions Factors'!$C$36*'Calcs - Power'!$G154+'Emissions Factors'!$C$35*('Calcs - Power'!$H154+'Calcs - Power'!$I154+'Calcs - Power'!$J154+'Calcs - Power'!$K154))</f>
        <v>62168.690014632339</v>
      </c>
      <c r="V155" s="366">
        <f>(102*'Emissions Factors'!$C$36*'Calcs - Power'!$B154+'Emissions Factors'!$C$35*('Calcs - Power'!$C154+'Calcs - Power'!$D154+'Calcs - Power'!$E154+'Calcs - Power'!$F154))</f>
        <v>5080591.6905133706</v>
      </c>
      <c r="W155" s="359">
        <f>(102*'Emissions Factors'!$D$36*'Calcs - Power'!$G154+'Emissions Factors'!$D$35*('Calcs - Power'!$H154+'Calcs - Power'!$I154+'Calcs - Power'!$J154+'Calcs - Power'!$K154))</f>
        <v>62168.690014632339</v>
      </c>
      <c r="X155" s="366">
        <f>(102*'Emissions Factors'!$D$36*'Calcs - Power'!$B154+'Emissions Factors'!$D$35*('Calcs - Power'!$C154+'Calcs - Power'!$D154+'Calcs - Power'!$E154+'Calcs - Power'!$F154))</f>
        <v>5080591.6905133706</v>
      </c>
      <c r="Y155" s="359">
        <f>(102*'Emissions Factors'!$C$38*'Calcs - Power'!$G154+'Emissions Factors'!$C$37*('Calcs - Power'!$H154+'Calcs - Power'!$I154+'Calcs - Power'!$J154+'Calcs - Power'!$K154))</f>
        <v>33864.439415796078</v>
      </c>
      <c r="Z155" s="366">
        <f>(102*'Emissions Factors'!$C$38*'Calcs - Power'!$B154+'Emissions Factors'!$C$37*('Calcs - Power'!$C154+'Calcs - Power'!$D154+'Calcs - Power'!$E154+'Calcs - Power'!$F154))</f>
        <v>2942161.6325616851</v>
      </c>
      <c r="AA155" s="359">
        <f>(102*'Emissions Factors'!$C$36*'Calcs - Power'!$G154+'Emissions Factors'!$C$35*('Calcs - Power'!$H154+'Calcs - Power'!$I154+'Calcs - Power'!$J154+'Calcs - Power'!$K154))</f>
        <v>62168.690014632339</v>
      </c>
      <c r="AB155" s="366">
        <f>(102*'Emissions Factors'!$C$36*'Calcs - Power'!$B154+'Emissions Factors'!$C$35*('Calcs - Power'!$C154+'Calcs - Power'!$D154+'Calcs - Power'!$E154+'Calcs - Power'!$F154))</f>
        <v>5080591.6905133706</v>
      </c>
      <c r="AI155" s="358">
        <f t="shared" si="32"/>
        <v>143</v>
      </c>
      <c r="AJ155" s="359">
        <f>(('Methane Leakage'!$G$6/'Methane Leakage'!$G$5)*102*'Emissions Factors'!$D$10*'Calcs - Power'!$G154+'Emissions Factors'!$D$11*('Calcs - Power'!$H154+'Calcs - Power'!$I154+'Calcs - Power'!$J154+'Calcs - Power'!$K154))</f>
        <v>4641.2509799636919</v>
      </c>
      <c r="AK155" s="366">
        <f>(('Methane Leakage'!$G$6/'Methane Leakage'!$G$5)*102*'Emissions Factors'!$D$10*'Calcs - Power'!$B154+'Emissions Factors'!$D$11*('Calcs - Power'!$C154+'Calcs - Power'!$D154+'Calcs - Power'!$E154+'Calcs - Power'!$F154))</f>
        <v>412055.13849984534</v>
      </c>
      <c r="AL155" s="359">
        <f>(102*'Emissions Factors'!$E$10*'Calcs - Power'!$G154+'Emissions Factors'!$E$11*('Calcs - Power'!H154+'Calcs - Power'!I154+'Calcs - Power'!J154+'Calcs - Power'!K154))</f>
        <v>5534.1835863002179</v>
      </c>
      <c r="AM155" s="366">
        <f>(102*'Emissions Factors'!$E$10*'Calcs - Power'!$B154+'Emissions Factors'!$E$11*('Calcs - Power'!C154+'Calcs - Power'!D154+'Calcs - Power'!E154+'Calcs - Power'!F154))</f>
        <v>454487.47057656664</v>
      </c>
      <c r="AN155" s="359">
        <f>(102*'Emissions Factors'!$D$10*'Calcs - Power'!$G154+'Emissions Factors'!$D$11*('Calcs - Power'!$H154+'Calcs - Power'!$I154+'Calcs - Power'!$J154+'Calcs - Power'!$K154))</f>
        <v>4641.2509799636919</v>
      </c>
      <c r="AO155" s="366">
        <f>(102*'Emissions Factors'!$D$10*'Calcs - Power'!$B154+'Emissions Factors'!$D$11*('Calcs - Power'!$C154+'Calcs - Power'!$D154+'Calcs - Power'!$E154+'Calcs - Power'!$F154))</f>
        <v>412055.13849984534</v>
      </c>
      <c r="AP155" s="367">
        <f>(102*'Emissions Factors'!$E$10*'Calcs - Power'!$G154+'Emissions Factors'!$E$11*('Calcs - Power'!H154+'Calcs - Power'!I154+'Calcs - Power'!J154+'Calcs - Power'!K154))</f>
        <v>5534.1835863002179</v>
      </c>
      <c r="AQ155" s="366">
        <f>(102*'Emissions Factors'!$E$10*'Calcs - Power'!$B154+'Emissions Factors'!$E$11*('Calcs - Power'!C154+'Calcs - Power'!D154+'Calcs - Power'!E154+'Calcs - Power'!F154))</f>
        <v>454487.47057656664</v>
      </c>
      <c r="AS155" s="357"/>
      <c r="AT155" s="357"/>
      <c r="AU155" s="357"/>
      <c r="AV155" s="357"/>
      <c r="AX155" s="358">
        <f t="shared" si="33"/>
        <v>143</v>
      </c>
      <c r="AY155" s="359">
        <f>(('Methane Leakage'!$G$6/'Methane Leakage'!$G$5)*102*'Emissions Factors'!$F$10*'Calcs - Power'!$G154+'Emissions Factors'!$F$11*('Calcs - Power'!$H154+'Calcs - Power'!$I154+'Calcs - Power'!$J154+'Calcs - Power'!$K154))</f>
        <v>6383713.4822165156</v>
      </c>
      <c r="AZ155" s="366">
        <f>(('Methane Leakage'!$G$6/'Methane Leakage'!$G$5)*102*'Emissions Factors'!$F$10*'Calcs - Power'!$B154+'Emissions Factors'!$F$11*('Calcs - Power'!$C154+'Calcs - Power'!$D154+'Calcs - Power'!$E154+'Calcs - Power'!$F154))</f>
        <v>553852286.57877576</v>
      </c>
      <c r="BA155" s="359">
        <f>(102*'Emissions Factors'!$G$10*'Calcs - Power'!$G154+'Emissions Factors'!$G$11*('Calcs - Power'!H154+'Calcs - Power'!I154+'Calcs - Power'!J154+'Calcs - Power'!K154))</f>
        <v>6392619.6576303421</v>
      </c>
      <c r="BB155" s="366">
        <f>(102*'Emissions Factors'!$G$10*'Calcs - Power'!$B154+'Emissions Factors'!$G$11*('Calcs - Power'!C154+'Calcs - Power'!D154+'Calcs - Power'!E154+'Calcs - Power'!F154))</f>
        <v>523638973.40329581</v>
      </c>
      <c r="BC155" s="359">
        <f>(102*'Emissions Factors'!$F$10*'Calcs - Power'!$G154+'Emissions Factors'!$F$11*('Calcs - Power'!$H154+'Calcs - Power'!$I154+'Calcs - Power'!$J154+'Calcs - Power'!$K154))</f>
        <v>6383713.4822165156</v>
      </c>
      <c r="BD155" s="366">
        <f>(102*'Emissions Factors'!$F$10*'Calcs - Power'!$B154+'Emissions Factors'!$F$11*('Calcs - Power'!$C154+'Calcs - Power'!$D154+'Calcs - Power'!$E154+'Calcs - Power'!$F154))</f>
        <v>553852286.57877576</v>
      </c>
      <c r="BE155" s="359">
        <f>(102*'Emissions Factors'!$G$10*'Calcs - Power'!$G154+'Emissions Factors'!$G$11*('Calcs - Power'!H154+'Calcs - Power'!I154+'Calcs - Power'!J154+'Calcs - Power'!K154))</f>
        <v>6392619.6576303421</v>
      </c>
      <c r="BF155" s="366">
        <f>(102*'Emissions Factors'!$G$10*'Calcs - Power'!$B154+'Emissions Factors'!$G$11*('Calcs - Power'!C154+'Calcs - Power'!D154+'Calcs - Power'!E154+'Calcs - Power'!F154))</f>
        <v>523638973.40329581</v>
      </c>
    </row>
    <row r="156" spans="1:58" x14ac:dyDescent="0.3">
      <c r="A156" s="351">
        <f t="shared" si="30"/>
        <v>144</v>
      </c>
      <c r="B156" s="352">
        <f t="shared" si="24"/>
        <v>0.99999999999999978</v>
      </c>
      <c r="C156" s="363">
        <f t="shared" si="25"/>
        <v>1</v>
      </c>
      <c r="D156" s="352">
        <f t="shared" si="26"/>
        <v>1</v>
      </c>
      <c r="E156" s="364">
        <f t="shared" si="27"/>
        <v>1</v>
      </c>
      <c r="F156" s="364">
        <f t="shared" si="28"/>
        <v>1</v>
      </c>
      <c r="G156" s="365">
        <f t="shared" si="29"/>
        <v>1</v>
      </c>
      <c r="P156" s="358">
        <f t="shared" si="31"/>
        <v>144</v>
      </c>
      <c r="Q156" s="359">
        <f>(('Methane Leakage'!$C$6/'Methane Leakage'!$C$5)*102*'Emissions Factors'!$C$38*'Calcs - Power'!$G155+'Emissions Factors'!$C$37*('Calcs - Power'!$H155+'Calcs - Power'!$I155+'Calcs - Power'!$J155+'Calcs - Power'!$K155))</f>
        <v>34021.607316131325</v>
      </c>
      <c r="R156" s="366">
        <f>(('Methane Leakage'!$C$6/'Methane Leakage'!$C$5)*102*'Emissions Factors'!$C$38*'Calcs - Power'!$B155+'Emissions Factors'!$C$37*('Calcs - Power'!$C155+'Calcs - Power'!$D155+'Calcs - Power'!$E155+'Calcs - Power'!$F155))</f>
        <v>2976104.6821721499</v>
      </c>
      <c r="S156" s="359">
        <f>(('Methane Leakage'!$C$6/'Methane Leakage'!$C$5)*102*'Emissions Factors'!$D$38*'Calcs - Power'!$G155+'Emissions Factors'!$D$37*('Calcs - Power'!$H155+'Calcs - Power'!$I155+'Calcs - Power'!$J155+'Calcs - Power'!$K155))</f>
        <v>34021.607316131325</v>
      </c>
      <c r="T156" s="366">
        <f>(('Methane Leakage'!$C$6/'Methane Leakage'!$C$5)*102*'Emissions Factors'!$D$38*'Calcs - Power'!$B155+'Emissions Factors'!$D$37*('Calcs - Power'!$C155+'Calcs - Power'!$D155+'Calcs - Power'!$E155+'Calcs - Power'!$F155))</f>
        <v>2976104.6821721499</v>
      </c>
      <c r="U156" s="361">
        <f>(102*'Emissions Factors'!$C$36*'Calcs - Power'!$G155+'Emissions Factors'!$C$35*('Calcs - Power'!$H155+'Calcs - Power'!$I155+'Calcs - Power'!$J155+'Calcs - Power'!$K155))</f>
        <v>62490.947222557566</v>
      </c>
      <c r="V156" s="366">
        <f>(102*'Emissions Factors'!$C$36*'Calcs - Power'!$B155+'Emissions Factors'!$C$35*('Calcs - Power'!$C155+'Calcs - Power'!$D155+'Calcs - Power'!$E155+'Calcs - Power'!$F155))</f>
        <v>5142921.5629174151</v>
      </c>
      <c r="W156" s="359">
        <f>(102*'Emissions Factors'!$D$36*'Calcs - Power'!$G155+'Emissions Factors'!$D$35*('Calcs - Power'!$H155+'Calcs - Power'!$I155+'Calcs - Power'!$J155+'Calcs - Power'!$K155))</f>
        <v>62490.947222557566</v>
      </c>
      <c r="X156" s="366">
        <f>(102*'Emissions Factors'!$D$36*'Calcs - Power'!$B155+'Emissions Factors'!$D$35*('Calcs - Power'!$C155+'Calcs - Power'!$D155+'Calcs - Power'!$E155+'Calcs - Power'!$F155))</f>
        <v>5142921.5629174151</v>
      </c>
      <c r="Y156" s="359">
        <f>(102*'Emissions Factors'!$C$38*'Calcs - Power'!$G155+'Emissions Factors'!$C$37*('Calcs - Power'!$H155+'Calcs - Power'!$I155+'Calcs - Power'!$J155+'Calcs - Power'!$K155))</f>
        <v>34021.607316131325</v>
      </c>
      <c r="Z156" s="366">
        <f>(102*'Emissions Factors'!$C$38*'Calcs - Power'!$B155+'Emissions Factors'!$C$37*('Calcs - Power'!$C155+'Calcs - Power'!$D155+'Calcs - Power'!$E155+'Calcs - Power'!$F155))</f>
        <v>2976104.6821721499</v>
      </c>
      <c r="AA156" s="359">
        <f>(102*'Emissions Factors'!$C$36*'Calcs - Power'!$G155+'Emissions Factors'!$C$35*('Calcs - Power'!$H155+'Calcs - Power'!$I155+'Calcs - Power'!$J155+'Calcs - Power'!$K155))</f>
        <v>62490.947222557566</v>
      </c>
      <c r="AB156" s="366">
        <f>(102*'Emissions Factors'!$C$36*'Calcs - Power'!$B155+'Emissions Factors'!$C$35*('Calcs - Power'!$C155+'Calcs - Power'!$D155+'Calcs - Power'!$E155+'Calcs - Power'!$F155))</f>
        <v>5142921.5629174151</v>
      </c>
      <c r="AI156" s="358">
        <f t="shared" si="32"/>
        <v>144</v>
      </c>
      <c r="AJ156" s="359">
        <f>(('Methane Leakage'!$G$6/'Methane Leakage'!$G$5)*102*'Emissions Factors'!$D$10*'Calcs - Power'!$G155+'Emissions Factors'!$D$11*('Calcs - Power'!$H155+'Calcs - Power'!$I155+'Calcs - Power'!$J155+'Calcs - Power'!$K155))</f>
        <v>4661.8636934356573</v>
      </c>
      <c r="AK156" s="366">
        <f>(('Methane Leakage'!$G$6/'Methane Leakage'!$G$5)*102*'Emissions Factors'!$D$10*'Calcs - Power'!$B155+'Emissions Factors'!$D$11*('Calcs - Power'!$C155+'Calcs - Power'!$D155+'Calcs - Power'!$E155+'Calcs - Power'!$F155))</f>
        <v>416706.69927925867</v>
      </c>
      <c r="AL156" s="359">
        <f>(102*'Emissions Factors'!$E$10*'Calcs - Power'!$G155+'Emissions Factors'!$E$11*('Calcs - Power'!H155+'Calcs - Power'!I155+'Calcs - Power'!J155+'Calcs - Power'!K155))</f>
        <v>5562.6371314865846</v>
      </c>
      <c r="AM156" s="366">
        <f>(102*'Emissions Factors'!$E$10*'Calcs - Power'!$B155+'Emissions Factors'!$E$11*('Calcs - Power'!C155+'Calcs - Power'!D155+'Calcs - Power'!E155+'Calcs - Power'!F155))</f>
        <v>460035.88568458351</v>
      </c>
      <c r="AN156" s="359">
        <f>(102*'Emissions Factors'!$D$10*'Calcs - Power'!$G155+'Emissions Factors'!$D$11*('Calcs - Power'!$H155+'Calcs - Power'!$I155+'Calcs - Power'!$J155+'Calcs - Power'!$K155))</f>
        <v>4661.8636934356573</v>
      </c>
      <c r="AO156" s="366">
        <f>(102*'Emissions Factors'!$D$10*'Calcs - Power'!$B155+'Emissions Factors'!$D$11*('Calcs - Power'!$C155+'Calcs - Power'!$D155+'Calcs - Power'!$E155+'Calcs - Power'!$F155))</f>
        <v>416706.69927925867</v>
      </c>
      <c r="AP156" s="367">
        <f>(102*'Emissions Factors'!$E$10*'Calcs - Power'!$G155+'Emissions Factors'!$E$11*('Calcs - Power'!H155+'Calcs - Power'!I155+'Calcs - Power'!J155+'Calcs - Power'!K155))</f>
        <v>5562.6371314865846</v>
      </c>
      <c r="AQ156" s="366">
        <f>(102*'Emissions Factors'!$E$10*'Calcs - Power'!$B155+'Emissions Factors'!$E$11*('Calcs - Power'!C155+'Calcs - Power'!D155+'Calcs - Power'!E155+'Calcs - Power'!F155))</f>
        <v>460035.88568458351</v>
      </c>
      <c r="AS156" s="357"/>
      <c r="AT156" s="357"/>
      <c r="AU156" s="357"/>
      <c r="AV156" s="357"/>
      <c r="AX156" s="358">
        <f t="shared" si="33"/>
        <v>144</v>
      </c>
      <c r="AY156" s="359">
        <f>(('Methane Leakage'!$G$6/'Methane Leakage'!$G$5)*102*'Emissions Factors'!$F$10*'Calcs - Power'!$G155+'Emissions Factors'!$F$11*('Calcs - Power'!$H155+'Calcs - Power'!$I155+'Calcs - Power'!$J155+'Calcs - Power'!$K155))</f>
        <v>6413421.6833683308</v>
      </c>
      <c r="AZ156" s="366">
        <f>(('Methane Leakage'!$G$6/'Methane Leakage'!$G$5)*102*'Emissions Factors'!$F$10*'Calcs - Power'!$B155+'Emissions Factors'!$F$11*('Calcs - Power'!$C155+'Calcs - Power'!$D155+'Calcs - Power'!$E155+'Calcs - Power'!$F155))</f>
        <v>560250859.12229502</v>
      </c>
      <c r="BA156" s="359">
        <f>(102*'Emissions Factors'!$G$10*'Calcs - Power'!$G155+'Emissions Factors'!$G$11*('Calcs - Power'!H155+'Calcs - Power'!I155+'Calcs - Power'!J155+'Calcs - Power'!K155))</f>
        <v>6425628.3960378114</v>
      </c>
      <c r="BB156" s="366">
        <f>(102*'Emissions Factors'!$G$10*'Calcs - Power'!$B155+'Emissions Factors'!$G$11*('Calcs - Power'!C155+'Calcs - Power'!D155+'Calcs - Power'!E155+'Calcs - Power'!F155))</f>
        <v>530048102.93945175</v>
      </c>
      <c r="BC156" s="359">
        <f>(102*'Emissions Factors'!$F$10*'Calcs - Power'!$G155+'Emissions Factors'!$F$11*('Calcs - Power'!$H155+'Calcs - Power'!$I155+'Calcs - Power'!$J155+'Calcs - Power'!$K155))</f>
        <v>6413421.6833683308</v>
      </c>
      <c r="BD156" s="366">
        <f>(102*'Emissions Factors'!$F$10*'Calcs - Power'!$B155+'Emissions Factors'!$F$11*('Calcs - Power'!$C155+'Calcs - Power'!$D155+'Calcs - Power'!$E155+'Calcs - Power'!$F155))</f>
        <v>560250859.12229502</v>
      </c>
      <c r="BE156" s="359">
        <f>(102*'Emissions Factors'!$G$10*'Calcs - Power'!$G155+'Emissions Factors'!$G$11*('Calcs - Power'!H155+'Calcs - Power'!I155+'Calcs - Power'!J155+'Calcs - Power'!K155))</f>
        <v>6425628.3960378114</v>
      </c>
      <c r="BF156" s="366">
        <f>(102*'Emissions Factors'!$G$10*'Calcs - Power'!$B155+'Emissions Factors'!$G$11*('Calcs - Power'!C155+'Calcs - Power'!D155+'Calcs - Power'!E155+'Calcs - Power'!F155))</f>
        <v>530048102.93945175</v>
      </c>
    </row>
    <row r="157" spans="1:58" x14ac:dyDescent="0.3">
      <c r="A157" s="351">
        <f t="shared" si="30"/>
        <v>145</v>
      </c>
      <c r="B157" s="352">
        <f t="shared" si="24"/>
        <v>1</v>
      </c>
      <c r="C157" s="363">
        <f t="shared" si="25"/>
        <v>0.99999999999999989</v>
      </c>
      <c r="D157" s="352">
        <f t="shared" si="26"/>
        <v>1</v>
      </c>
      <c r="E157" s="364">
        <f t="shared" si="27"/>
        <v>1</v>
      </c>
      <c r="F157" s="364">
        <f t="shared" si="28"/>
        <v>1</v>
      </c>
      <c r="G157" s="365">
        <f t="shared" si="29"/>
        <v>1</v>
      </c>
      <c r="P157" s="358">
        <f t="shared" si="31"/>
        <v>145</v>
      </c>
      <c r="Q157" s="359">
        <f>(('Methane Leakage'!$C$6/'Methane Leakage'!$C$5)*102*'Emissions Factors'!$C$38*'Calcs - Power'!$G156+'Emissions Factors'!$C$37*('Calcs - Power'!$H156+'Calcs - Power'!$I156+'Calcs - Power'!$J156+'Calcs - Power'!$K156))</f>
        <v>34178.461286117679</v>
      </c>
      <c r="R157" s="366">
        <f>(('Methane Leakage'!$C$6/'Methane Leakage'!$C$5)*102*'Emissions Factors'!$C$38*'Calcs - Power'!$B156+'Emissions Factors'!$C$37*('Calcs - Power'!$C156+'Calcs - Power'!$D156+'Calcs - Power'!$E156+'Calcs - Power'!$F156))</f>
        <v>3010204.7425507437</v>
      </c>
      <c r="S157" s="359">
        <f>(('Methane Leakage'!$C$6/'Methane Leakage'!$C$5)*102*'Emissions Factors'!$D$38*'Calcs - Power'!$G156+'Emissions Factors'!$D$37*('Calcs - Power'!$H156+'Calcs - Power'!$I156+'Calcs - Power'!$J156+'Calcs - Power'!$K156))</f>
        <v>34178.461286117679</v>
      </c>
      <c r="T157" s="366">
        <f>(('Methane Leakage'!$C$6/'Methane Leakage'!$C$5)*102*'Emissions Factors'!$D$38*'Calcs - Power'!$B156+'Emissions Factors'!$D$37*('Calcs - Power'!$C156+'Calcs - Power'!$D156+'Calcs - Power'!$E156+'Calcs - Power'!$F156))</f>
        <v>3010204.7425507437</v>
      </c>
      <c r="U157" s="361">
        <f>(102*'Emissions Factors'!$C$36*'Calcs - Power'!$G156+'Emissions Factors'!$C$35*('Calcs - Power'!$H156+'Calcs - Power'!$I156+'Calcs - Power'!$J156+'Calcs - Power'!$K156))</f>
        <v>62812.561049940305</v>
      </c>
      <c r="V157" s="366">
        <f>(102*'Emissions Factors'!$C$36*'Calcs - Power'!$B156+'Emissions Factors'!$C$35*('Calcs - Power'!$C156+'Calcs - Power'!$D156+'Calcs - Power'!$E156+'Calcs - Power'!$F156))</f>
        <v>5205573.370498783</v>
      </c>
      <c r="W157" s="359">
        <f>(102*'Emissions Factors'!$D$36*'Calcs - Power'!$G156+'Emissions Factors'!$D$35*('Calcs - Power'!$H156+'Calcs - Power'!$I156+'Calcs - Power'!$J156+'Calcs - Power'!$K156))</f>
        <v>62812.561049940305</v>
      </c>
      <c r="X157" s="366">
        <f>(102*'Emissions Factors'!$D$36*'Calcs - Power'!$B156+'Emissions Factors'!$D$35*('Calcs - Power'!$C156+'Calcs - Power'!$D156+'Calcs - Power'!$E156+'Calcs - Power'!$F156))</f>
        <v>5205573.370498783</v>
      </c>
      <c r="Y157" s="359">
        <f>(102*'Emissions Factors'!$C$38*'Calcs - Power'!$G156+'Emissions Factors'!$C$37*('Calcs - Power'!$H156+'Calcs - Power'!$I156+'Calcs - Power'!$J156+'Calcs - Power'!$K156))</f>
        <v>34178.461286117679</v>
      </c>
      <c r="Z157" s="366">
        <f>(102*'Emissions Factors'!$C$38*'Calcs - Power'!$B156+'Emissions Factors'!$C$37*('Calcs - Power'!$C156+'Calcs - Power'!$D156+'Calcs - Power'!$E156+'Calcs - Power'!$F156))</f>
        <v>3010204.7425507437</v>
      </c>
      <c r="AA157" s="359">
        <f>(102*'Emissions Factors'!$C$36*'Calcs - Power'!$G156+'Emissions Factors'!$C$35*('Calcs - Power'!$H156+'Calcs - Power'!$I156+'Calcs - Power'!$J156+'Calcs - Power'!$K156))</f>
        <v>62812.561049940305</v>
      </c>
      <c r="AB157" s="366">
        <f>(102*'Emissions Factors'!$C$36*'Calcs - Power'!$B156+'Emissions Factors'!$C$35*('Calcs - Power'!$C156+'Calcs - Power'!$D156+'Calcs - Power'!$E156+'Calcs - Power'!$F156))</f>
        <v>5205573.370498783</v>
      </c>
      <c r="AI157" s="358">
        <f t="shared" si="32"/>
        <v>145</v>
      </c>
      <c r="AJ157" s="359">
        <f>(('Methane Leakage'!$G$6/'Methane Leakage'!$G$5)*102*'Emissions Factors'!$D$10*'Calcs - Power'!$G156+'Emissions Factors'!$D$11*('Calcs - Power'!$H156+'Calcs - Power'!$I156+'Calcs - Power'!$J156+'Calcs - Power'!$K156))</f>
        <v>4682.4352263339842</v>
      </c>
      <c r="AK157" s="366">
        <f>(('Methane Leakage'!$G$6/'Methane Leakage'!$G$5)*102*'Emissions Factors'!$D$10*'Calcs - Power'!$B156+'Emissions Factors'!$D$11*('Calcs - Power'!$C156+'Calcs - Power'!$D156+'Calcs - Power'!$E156+'Calcs - Power'!$F156))</f>
        <v>421378.85215989163</v>
      </c>
      <c r="AL157" s="359">
        <f>(102*'Emissions Factors'!$E$10*'Calcs - Power'!$G156+'Emissions Factors'!$E$11*('Calcs - Power'!H156+'Calcs - Power'!I156+'Calcs - Power'!J156+'Calcs - Power'!K156))</f>
        <v>5591.0338678227627</v>
      </c>
      <c r="AM157" s="366">
        <f>(102*'Emissions Factors'!$E$10*'Calcs - Power'!$B156+'Emissions Factors'!$E$11*('Calcs - Power'!C156+'Calcs - Power'!D156+'Calcs - Power'!E156+'Calcs - Power'!F156))</f>
        <v>465612.72590329888</v>
      </c>
      <c r="AN157" s="359">
        <f>(102*'Emissions Factors'!$D$10*'Calcs - Power'!$G156+'Emissions Factors'!$D$11*('Calcs - Power'!$H156+'Calcs - Power'!$I156+'Calcs - Power'!$J156+'Calcs - Power'!$K156))</f>
        <v>4682.4352263339842</v>
      </c>
      <c r="AO157" s="366">
        <f>(102*'Emissions Factors'!$D$10*'Calcs - Power'!$B156+'Emissions Factors'!$D$11*('Calcs - Power'!$C156+'Calcs - Power'!$D156+'Calcs - Power'!$E156+'Calcs - Power'!$F156))</f>
        <v>421378.85215989163</v>
      </c>
      <c r="AP157" s="367">
        <f>(102*'Emissions Factors'!$E$10*'Calcs - Power'!$G156+'Emissions Factors'!$E$11*('Calcs - Power'!H156+'Calcs - Power'!I156+'Calcs - Power'!J156+'Calcs - Power'!K156))</f>
        <v>5591.0338678227627</v>
      </c>
      <c r="AQ157" s="366">
        <f>(102*'Emissions Factors'!$E$10*'Calcs - Power'!$B156+'Emissions Factors'!$E$11*('Calcs - Power'!C156+'Calcs - Power'!D156+'Calcs - Power'!E156+'Calcs - Power'!F156))</f>
        <v>465612.72590329888</v>
      </c>
      <c r="AS157" s="357"/>
      <c r="AT157" s="357"/>
      <c r="AU157" s="357"/>
      <c r="AV157" s="357"/>
      <c r="AX157" s="358">
        <f t="shared" si="33"/>
        <v>145</v>
      </c>
      <c r="AY157" s="359">
        <f>(('Methane Leakage'!$G$6/'Methane Leakage'!$G$5)*102*'Emissions Factors'!$F$10*'Calcs - Power'!$G156+'Emissions Factors'!$F$11*('Calcs - Power'!$H156+'Calcs - Power'!$I156+'Calcs - Power'!$J156+'Calcs - Power'!$K156))</f>
        <v>6443070.5454820944</v>
      </c>
      <c r="AZ157" s="366">
        <f>(('Methane Leakage'!$G$6/'Methane Leakage'!$G$5)*102*'Emissions Factors'!$F$10*'Calcs - Power'!$B156+'Emissions Factors'!$F$11*('Calcs - Power'!$C156+'Calcs - Power'!$D156+'Calcs - Power'!$E156+'Calcs - Power'!$F156))</f>
        <v>566679110.16587937</v>
      </c>
      <c r="BA157" s="359">
        <f>(102*'Emissions Factors'!$G$10*'Calcs - Power'!$G156+'Emissions Factors'!$G$11*('Calcs - Power'!H156+'Calcs - Power'!I156+'Calcs - Power'!J156+'Calcs - Power'!K156))</f>
        <v>6458571.2320828419</v>
      </c>
      <c r="BB157" s="366">
        <f>(102*'Emissions Factors'!$G$10*'Calcs - Power'!$B156+'Emissions Factors'!$G$11*('Calcs - Power'!C156+'Calcs - Power'!D156+'Calcs - Power'!E156+'Calcs - Power'!F156))</f>
        <v>536490208.22796649</v>
      </c>
      <c r="BC157" s="359">
        <f>(102*'Emissions Factors'!$F$10*'Calcs - Power'!$G156+'Emissions Factors'!$F$11*('Calcs - Power'!$H156+'Calcs - Power'!$I156+'Calcs - Power'!$J156+'Calcs - Power'!$K156))</f>
        <v>6443070.5454820944</v>
      </c>
      <c r="BD157" s="366">
        <f>(102*'Emissions Factors'!$F$10*'Calcs - Power'!$B156+'Emissions Factors'!$F$11*('Calcs - Power'!$C156+'Calcs - Power'!$D156+'Calcs - Power'!$E156+'Calcs - Power'!$F156))</f>
        <v>566679110.16587937</v>
      </c>
      <c r="BE157" s="359">
        <f>(102*'Emissions Factors'!$G$10*'Calcs - Power'!$G156+'Emissions Factors'!$G$11*('Calcs - Power'!H156+'Calcs - Power'!I156+'Calcs - Power'!J156+'Calcs - Power'!K156))</f>
        <v>6458571.2320828419</v>
      </c>
      <c r="BF157" s="366">
        <f>(102*'Emissions Factors'!$G$10*'Calcs - Power'!$B156+'Emissions Factors'!$G$11*('Calcs - Power'!C156+'Calcs - Power'!D156+'Calcs - Power'!E156+'Calcs - Power'!F156))</f>
        <v>536490208.22796649</v>
      </c>
    </row>
    <row r="158" spans="1:58" x14ac:dyDescent="0.3">
      <c r="A158" s="351">
        <f t="shared" si="30"/>
        <v>146</v>
      </c>
      <c r="B158" s="352">
        <f t="shared" si="24"/>
        <v>0.99999999999999978</v>
      </c>
      <c r="C158" s="363">
        <f t="shared" si="25"/>
        <v>1</v>
      </c>
      <c r="D158" s="352">
        <f t="shared" si="26"/>
        <v>1</v>
      </c>
      <c r="E158" s="364">
        <f t="shared" si="27"/>
        <v>1</v>
      </c>
      <c r="F158" s="364">
        <f t="shared" si="28"/>
        <v>1</v>
      </c>
      <c r="G158" s="365">
        <f t="shared" si="29"/>
        <v>1</v>
      </c>
      <c r="P158" s="358">
        <f t="shared" si="31"/>
        <v>146</v>
      </c>
      <c r="Q158" s="359">
        <f>(('Methane Leakage'!$C$6/'Methane Leakage'!$C$5)*102*'Emissions Factors'!$C$38*'Calcs - Power'!$G157+'Emissions Factors'!$C$37*('Calcs - Power'!$H157+'Calcs - Power'!$I157+'Calcs - Power'!$J157+'Calcs - Power'!$K157))</f>
        <v>34335.003319181102</v>
      </c>
      <c r="R158" s="366">
        <f>(('Methane Leakage'!$C$6/'Methane Leakage'!$C$5)*102*'Emissions Factors'!$C$38*'Calcs - Power'!$B157+'Emissions Factors'!$C$37*('Calcs - Power'!$C157+'Calcs - Power'!$D157+'Calcs - Power'!$E157+'Calcs - Power'!$F157))</f>
        <v>3044461.5007656501</v>
      </c>
      <c r="S158" s="359">
        <f>(('Methane Leakage'!$C$6/'Methane Leakage'!$C$5)*102*'Emissions Factors'!$D$38*'Calcs - Power'!$G157+'Emissions Factors'!$D$37*('Calcs - Power'!$H157+'Calcs - Power'!$I157+'Calcs - Power'!$J157+'Calcs - Power'!$K157))</f>
        <v>34335.003319181102</v>
      </c>
      <c r="T158" s="366">
        <f>(('Methane Leakage'!$C$6/'Methane Leakage'!$C$5)*102*'Emissions Factors'!$D$38*'Calcs - Power'!$B157+'Emissions Factors'!$D$37*('Calcs - Power'!$C157+'Calcs - Power'!$D157+'Calcs - Power'!$E157+'Calcs - Power'!$F157))</f>
        <v>3044461.5007656501</v>
      </c>
      <c r="U158" s="361">
        <f>(102*'Emissions Factors'!$C$36*'Calcs - Power'!$G157+'Emissions Factors'!$C$35*('Calcs - Power'!$H157+'Calcs - Power'!$I157+'Calcs - Power'!$J157+'Calcs - Power'!$K157))</f>
        <v>63133.535559343087</v>
      </c>
      <c r="V158" s="366">
        <f>(102*'Emissions Factors'!$C$36*'Calcs - Power'!$B157+'Emissions Factors'!$C$35*('Calcs - Power'!$C157+'Calcs - Power'!$D157+'Calcs - Power'!$E157+'Calcs - Power'!$F157))</f>
        <v>5268546.4719117703</v>
      </c>
      <c r="W158" s="359">
        <f>(102*'Emissions Factors'!$D$36*'Calcs - Power'!$G157+'Emissions Factors'!$D$35*('Calcs - Power'!$H157+'Calcs - Power'!$I157+'Calcs - Power'!$J157+'Calcs - Power'!$K157))</f>
        <v>63133.535559343087</v>
      </c>
      <c r="X158" s="366">
        <f>(102*'Emissions Factors'!$D$36*'Calcs - Power'!$B157+'Emissions Factors'!$D$35*('Calcs - Power'!$C157+'Calcs - Power'!$D157+'Calcs - Power'!$E157+'Calcs - Power'!$F157))</f>
        <v>5268546.4719117703</v>
      </c>
      <c r="Y158" s="359">
        <f>(102*'Emissions Factors'!$C$38*'Calcs - Power'!$G157+'Emissions Factors'!$C$37*('Calcs - Power'!$H157+'Calcs - Power'!$I157+'Calcs - Power'!$J157+'Calcs - Power'!$K157))</f>
        <v>34335.003319181102</v>
      </c>
      <c r="Z158" s="366">
        <f>(102*'Emissions Factors'!$C$38*'Calcs - Power'!$B157+'Emissions Factors'!$C$37*('Calcs - Power'!$C157+'Calcs - Power'!$D157+'Calcs - Power'!$E157+'Calcs - Power'!$F157))</f>
        <v>3044461.5007656501</v>
      </c>
      <c r="AA158" s="359">
        <f>(102*'Emissions Factors'!$C$36*'Calcs - Power'!$G157+'Emissions Factors'!$C$35*('Calcs - Power'!$H157+'Calcs - Power'!$I157+'Calcs - Power'!$J157+'Calcs - Power'!$K157))</f>
        <v>63133.535559343087</v>
      </c>
      <c r="AB158" s="366">
        <f>(102*'Emissions Factors'!$C$36*'Calcs - Power'!$B157+'Emissions Factors'!$C$35*('Calcs - Power'!$C157+'Calcs - Power'!$D157+'Calcs - Power'!$E157+'Calcs - Power'!$F157))</f>
        <v>5268546.4719117703</v>
      </c>
      <c r="AI158" s="358">
        <f t="shared" si="32"/>
        <v>146</v>
      </c>
      <c r="AJ158" s="359">
        <f>(('Methane Leakage'!$G$6/'Methane Leakage'!$G$5)*102*'Emissions Factors'!$D$10*'Calcs - Power'!$G157+'Emissions Factors'!$D$11*('Calcs - Power'!$H157+'Calcs - Power'!$I157+'Calcs - Power'!$J157+'Calcs - Power'!$K157))</f>
        <v>4702.9658407793968</v>
      </c>
      <c r="AK158" s="366">
        <f>(('Methane Leakage'!$G$6/'Methane Leakage'!$G$5)*102*'Emissions Factors'!$D$10*'Calcs - Power'!$B157+'Emissions Factors'!$D$11*('Calcs - Power'!$C157+'Calcs - Power'!$D157+'Calcs - Power'!$E157+'Calcs - Power'!$F157))</f>
        <v>426071.55609247426</v>
      </c>
      <c r="AL158" s="359">
        <f>(102*'Emissions Factors'!$E$10*'Calcs - Power'!$G157+'Emissions Factors'!$E$11*('Calcs - Power'!H157+'Calcs - Power'!I157+'Calcs - Power'!J157+'Calcs - Power'!K157))</f>
        <v>5619.3741541641775</v>
      </c>
      <c r="AM158" s="366">
        <f>(102*'Emissions Factors'!$E$10*'Calcs - Power'!$B157+'Emissions Factors'!$E$11*('Calcs - Power'!C157+'Calcs - Power'!D157+'Calcs - Power'!E157+'Calcs - Power'!F157))</f>
        <v>471217.93460360554</v>
      </c>
      <c r="AN158" s="359">
        <f>(102*'Emissions Factors'!$D$10*'Calcs - Power'!$G157+'Emissions Factors'!$D$11*('Calcs - Power'!$H157+'Calcs - Power'!$I157+'Calcs - Power'!$J157+'Calcs - Power'!$K157))</f>
        <v>4702.9658407793968</v>
      </c>
      <c r="AO158" s="366">
        <f>(102*'Emissions Factors'!$D$10*'Calcs - Power'!$B157+'Emissions Factors'!$D$11*('Calcs - Power'!$C157+'Calcs - Power'!$D157+'Calcs - Power'!$E157+'Calcs - Power'!$F157))</f>
        <v>426071.55609247426</v>
      </c>
      <c r="AP158" s="367">
        <f>(102*'Emissions Factors'!$E$10*'Calcs - Power'!$G157+'Emissions Factors'!$E$11*('Calcs - Power'!H157+'Calcs - Power'!I157+'Calcs - Power'!J157+'Calcs - Power'!K157))</f>
        <v>5619.3741541641775</v>
      </c>
      <c r="AQ158" s="366">
        <f>(102*'Emissions Factors'!$E$10*'Calcs - Power'!$B157+'Emissions Factors'!$E$11*('Calcs - Power'!C157+'Calcs - Power'!D157+'Calcs - Power'!E157+'Calcs - Power'!F157))</f>
        <v>471217.93460360554</v>
      </c>
      <c r="AS158" s="357"/>
      <c r="AT158" s="357"/>
      <c r="AU158" s="357"/>
      <c r="AV158" s="357"/>
      <c r="AX158" s="358">
        <f t="shared" si="33"/>
        <v>146</v>
      </c>
      <c r="AY158" s="359">
        <f>(('Methane Leakage'!$G$6/'Methane Leakage'!$G$5)*102*'Emissions Factors'!$F$10*'Calcs - Power'!$G157+'Emissions Factors'!$F$11*('Calcs - Power'!$H157+'Calcs - Power'!$I157+'Calcs - Power'!$J157+'Calcs - Power'!$K157))</f>
        <v>6472660.4452999681</v>
      </c>
      <c r="AZ158" s="366">
        <f>(('Methane Leakage'!$G$6/'Methane Leakage'!$G$5)*102*'Emissions Factors'!$F$10*'Calcs - Power'!$B157+'Emissions Factors'!$F$11*('Calcs - Power'!$C157+'Calcs - Power'!$D157+'Calcs - Power'!$E157+'Calcs - Power'!$F157))</f>
        <v>573136980.55920565</v>
      </c>
      <c r="BA158" s="359">
        <f>(102*'Emissions Factors'!$G$10*'Calcs - Power'!$G157+'Emissions Factors'!$G$11*('Calcs - Power'!H157+'Calcs - Power'!I157+'Calcs - Power'!J157+'Calcs - Power'!K157))</f>
        <v>6491448.5819770023</v>
      </c>
      <c r="BB158" s="366">
        <f>(102*'Emissions Factors'!$G$10*'Calcs - Power'!$B157+'Emissions Factors'!$G$11*('Calcs - Power'!C157+'Calcs - Power'!D157+'Calcs - Power'!E157+'Calcs - Power'!F157))</f>
        <v>542965223.57494843</v>
      </c>
      <c r="BC158" s="359">
        <f>(102*'Emissions Factors'!$F$10*'Calcs - Power'!$G157+'Emissions Factors'!$F$11*('Calcs - Power'!$H157+'Calcs - Power'!$I157+'Calcs - Power'!$J157+'Calcs - Power'!$K157))</f>
        <v>6472660.4452999681</v>
      </c>
      <c r="BD158" s="366">
        <f>(102*'Emissions Factors'!$F$10*'Calcs - Power'!$B157+'Emissions Factors'!$F$11*('Calcs - Power'!$C157+'Calcs - Power'!$D157+'Calcs - Power'!$E157+'Calcs - Power'!$F157))</f>
        <v>573136980.55920565</v>
      </c>
      <c r="BE158" s="359">
        <f>(102*'Emissions Factors'!$G$10*'Calcs - Power'!$G157+'Emissions Factors'!$G$11*('Calcs - Power'!H157+'Calcs - Power'!I157+'Calcs - Power'!J157+'Calcs - Power'!K157))</f>
        <v>6491448.5819770023</v>
      </c>
      <c r="BF158" s="366">
        <f>(102*'Emissions Factors'!$G$10*'Calcs - Power'!$B157+'Emissions Factors'!$G$11*('Calcs - Power'!C157+'Calcs - Power'!D157+'Calcs - Power'!E157+'Calcs - Power'!F157))</f>
        <v>542965223.57494843</v>
      </c>
    </row>
    <row r="159" spans="1:58" x14ac:dyDescent="0.3">
      <c r="A159" s="351">
        <f t="shared" si="30"/>
        <v>147</v>
      </c>
      <c r="B159" s="352">
        <f t="shared" si="24"/>
        <v>1</v>
      </c>
      <c r="C159" s="363">
        <f t="shared" si="25"/>
        <v>0.99999999999999989</v>
      </c>
      <c r="D159" s="352">
        <f t="shared" si="26"/>
        <v>1</v>
      </c>
      <c r="E159" s="364">
        <f t="shared" si="27"/>
        <v>1</v>
      </c>
      <c r="F159" s="364">
        <f t="shared" si="28"/>
        <v>1</v>
      </c>
      <c r="G159" s="365">
        <f t="shared" si="29"/>
        <v>1</v>
      </c>
      <c r="P159" s="358">
        <f t="shared" si="31"/>
        <v>147</v>
      </c>
      <c r="Q159" s="359">
        <f>(('Methane Leakage'!$C$6/'Methane Leakage'!$C$5)*102*'Emissions Factors'!$C$38*'Calcs - Power'!$G158+'Emissions Factors'!$C$37*('Calcs - Power'!$H158+'Calcs - Power'!$I158+'Calcs - Power'!$J158+'Calcs - Power'!$K158))</f>
        <v>34491.235387280183</v>
      </c>
      <c r="R159" s="366">
        <f>(('Methane Leakage'!$C$6/'Methane Leakage'!$C$5)*102*'Emissions Factors'!$C$38*'Calcs - Power'!$B158+'Emissions Factors'!$C$37*('Calcs - Power'!$C158+'Calcs - Power'!$D158+'Calcs - Power'!$E158+'Calcs - Power'!$F158))</f>
        <v>3078874.6458676821</v>
      </c>
      <c r="S159" s="359">
        <f>(('Methane Leakage'!$C$6/'Methane Leakage'!$C$5)*102*'Emissions Factors'!$D$38*'Calcs - Power'!$G158+'Emissions Factors'!$D$37*('Calcs - Power'!$H158+'Calcs - Power'!$I158+'Calcs - Power'!$J158+'Calcs - Power'!$K158))</f>
        <v>34491.235387280183</v>
      </c>
      <c r="T159" s="366">
        <f>(('Methane Leakage'!$C$6/'Methane Leakage'!$C$5)*102*'Emissions Factors'!$D$38*'Calcs - Power'!$B158+'Emissions Factors'!$D$37*('Calcs - Power'!$C158+'Calcs - Power'!$D158+'Calcs - Power'!$E158+'Calcs - Power'!$F158))</f>
        <v>3078874.6458676821</v>
      </c>
      <c r="U159" s="361">
        <f>(102*'Emissions Factors'!$C$36*'Calcs - Power'!$G158+'Emissions Factors'!$C$35*('Calcs - Power'!$H158+'Calcs - Power'!$I158+'Calcs - Power'!$J158+'Calcs - Power'!$K158))</f>
        <v>63453.874771294853</v>
      </c>
      <c r="V159" s="366">
        <f>(102*'Emissions Factors'!$C$36*'Calcs - Power'!$B158+'Emissions Factors'!$C$35*('Calcs - Power'!$C158+'Calcs - Power'!$D158+'Calcs - Power'!$E158+'Calcs - Power'!$F158))</f>
        <v>5331840.2298521055</v>
      </c>
      <c r="W159" s="359">
        <f>(102*'Emissions Factors'!$D$36*'Calcs - Power'!$G158+'Emissions Factors'!$D$35*('Calcs - Power'!$H158+'Calcs - Power'!$I158+'Calcs - Power'!$J158+'Calcs - Power'!$K158))</f>
        <v>63453.874771294853</v>
      </c>
      <c r="X159" s="366">
        <f>(102*'Emissions Factors'!$D$36*'Calcs - Power'!$B158+'Emissions Factors'!$D$35*('Calcs - Power'!$C158+'Calcs - Power'!$D158+'Calcs - Power'!$E158+'Calcs - Power'!$F158))</f>
        <v>5331840.2298521055</v>
      </c>
      <c r="Y159" s="359">
        <f>(102*'Emissions Factors'!$C$38*'Calcs - Power'!$G158+'Emissions Factors'!$C$37*('Calcs - Power'!$H158+'Calcs - Power'!$I158+'Calcs - Power'!$J158+'Calcs - Power'!$K158))</f>
        <v>34491.235387280183</v>
      </c>
      <c r="Z159" s="366">
        <f>(102*'Emissions Factors'!$C$38*'Calcs - Power'!$B158+'Emissions Factors'!$C$37*('Calcs - Power'!$C158+'Calcs - Power'!$D158+'Calcs - Power'!$E158+'Calcs - Power'!$F158))</f>
        <v>3078874.6458676821</v>
      </c>
      <c r="AA159" s="359">
        <f>(102*'Emissions Factors'!$C$36*'Calcs - Power'!$G158+'Emissions Factors'!$C$35*('Calcs - Power'!$H158+'Calcs - Power'!$I158+'Calcs - Power'!$J158+'Calcs - Power'!$K158))</f>
        <v>63453.874771294853</v>
      </c>
      <c r="AB159" s="366">
        <f>(102*'Emissions Factors'!$C$36*'Calcs - Power'!$B158+'Emissions Factors'!$C$35*('Calcs - Power'!$C158+'Calcs - Power'!$D158+'Calcs - Power'!$E158+'Calcs - Power'!$F158))</f>
        <v>5331840.2298521055</v>
      </c>
      <c r="AI159" s="358">
        <f t="shared" si="32"/>
        <v>147</v>
      </c>
      <c r="AJ159" s="359">
        <f>(('Methane Leakage'!$G$6/'Methane Leakage'!$G$5)*102*'Emissions Factors'!$D$10*'Calcs - Power'!$G158+'Emissions Factors'!$D$11*('Calcs - Power'!$H158+'Calcs - Power'!$I158+'Calcs - Power'!$J158+'Calcs - Power'!$K158))</f>
        <v>4723.455796022603</v>
      </c>
      <c r="AK159" s="366">
        <f>(('Methane Leakage'!$G$6/'Methane Leakage'!$G$5)*102*'Emissions Factors'!$D$10*'Calcs - Power'!$B158+'Emissions Factors'!$D$11*('Calcs - Power'!$C158+'Calcs - Power'!$D158+'Calcs - Power'!$E158+'Calcs - Power'!$F158))</f>
        <v>430784.77028841391</v>
      </c>
      <c r="AL159" s="359">
        <f>(102*'Emissions Factors'!$E$10*'Calcs - Power'!$G158+'Emissions Factors'!$E$11*('Calcs - Power'!H158+'Calcs - Power'!I158+'Calcs - Power'!J158+'Calcs - Power'!K158))</f>
        <v>5647.6583456426342</v>
      </c>
      <c r="AM159" s="366">
        <f>(102*'Emissions Factors'!$E$10*'Calcs - Power'!$B158+'Emissions Factors'!$E$11*('Calcs - Power'!C158+'Calcs - Power'!D158+'Calcs - Power'!E158+'Calcs - Power'!F158))</f>
        <v>476851.45551337977</v>
      </c>
      <c r="AN159" s="359">
        <f>(102*'Emissions Factors'!$D$10*'Calcs - Power'!$G158+'Emissions Factors'!$D$11*('Calcs - Power'!$H158+'Calcs - Power'!$I158+'Calcs - Power'!$J158+'Calcs - Power'!$K158))</f>
        <v>4723.455796022603</v>
      </c>
      <c r="AO159" s="366">
        <f>(102*'Emissions Factors'!$D$10*'Calcs - Power'!$B158+'Emissions Factors'!$D$11*('Calcs - Power'!$C158+'Calcs - Power'!$D158+'Calcs - Power'!$E158+'Calcs - Power'!$F158))</f>
        <v>430784.77028841391</v>
      </c>
      <c r="AP159" s="367">
        <f>(102*'Emissions Factors'!$E$10*'Calcs - Power'!$G158+'Emissions Factors'!$E$11*('Calcs - Power'!H158+'Calcs - Power'!I158+'Calcs - Power'!J158+'Calcs - Power'!K158))</f>
        <v>5647.6583456426342</v>
      </c>
      <c r="AQ159" s="366">
        <f>(102*'Emissions Factors'!$E$10*'Calcs - Power'!$B158+'Emissions Factors'!$E$11*('Calcs - Power'!C158+'Calcs - Power'!D158+'Calcs - Power'!E158+'Calcs - Power'!F158))</f>
        <v>476851.45551337977</v>
      </c>
      <c r="AS159" s="357"/>
      <c r="AT159" s="357"/>
      <c r="AU159" s="357"/>
      <c r="AV159" s="357"/>
      <c r="AX159" s="358">
        <f t="shared" si="33"/>
        <v>147</v>
      </c>
      <c r="AY159" s="359">
        <f>(('Methane Leakage'!$G$6/'Methane Leakage'!$G$5)*102*'Emissions Factors'!$F$10*'Calcs - Power'!$G158+'Emissions Factors'!$F$11*('Calcs - Power'!$H158+'Calcs - Power'!$I158+'Calcs - Power'!$J158+'Calcs - Power'!$K158))</f>
        <v>6502191.7555110641</v>
      </c>
      <c r="AZ159" s="366">
        <f>(('Methane Leakage'!$G$6/'Methane Leakage'!$G$5)*102*'Emissions Factors'!$F$10*'Calcs - Power'!$B158+'Emissions Factors'!$F$11*('Calcs - Power'!$C158+'Calcs - Power'!$D158+'Calcs - Power'!$E158+'Calcs - Power'!$F158))</f>
        <v>579624411.52665401</v>
      </c>
      <c r="BA159" s="359">
        <f>(102*'Emissions Factors'!$G$10*'Calcs - Power'!$G158+'Emissions Factors'!$G$11*('Calcs - Power'!H158+'Calcs - Power'!I158+'Calcs - Power'!J158+'Calcs - Power'!K158))</f>
        <v>6524260.8576196255</v>
      </c>
      <c r="BB159" s="366">
        <f>(102*'Emissions Factors'!$G$10*'Calcs - Power'!$B158+'Emissions Factors'!$G$11*('Calcs - Power'!C158+'Calcs - Power'!D158+'Calcs - Power'!E158+'Calcs - Power'!F158))</f>
        <v>549473083.70054984</v>
      </c>
      <c r="BC159" s="359">
        <f>(102*'Emissions Factors'!$F$10*'Calcs - Power'!$G158+'Emissions Factors'!$F$11*('Calcs - Power'!$H158+'Calcs - Power'!$I158+'Calcs - Power'!$J158+'Calcs - Power'!$K158))</f>
        <v>6502191.7555110641</v>
      </c>
      <c r="BD159" s="366">
        <f>(102*'Emissions Factors'!$F$10*'Calcs - Power'!$B158+'Emissions Factors'!$F$11*('Calcs - Power'!$C158+'Calcs - Power'!$D158+'Calcs - Power'!$E158+'Calcs - Power'!$F158))</f>
        <v>579624411.52665401</v>
      </c>
      <c r="BE159" s="359">
        <f>(102*'Emissions Factors'!$G$10*'Calcs - Power'!$G158+'Emissions Factors'!$G$11*('Calcs - Power'!H158+'Calcs - Power'!I158+'Calcs - Power'!J158+'Calcs - Power'!K158))</f>
        <v>6524260.8576196255</v>
      </c>
      <c r="BF159" s="366">
        <f>(102*'Emissions Factors'!$G$10*'Calcs - Power'!$B158+'Emissions Factors'!$G$11*('Calcs - Power'!C158+'Calcs - Power'!D158+'Calcs - Power'!E158+'Calcs - Power'!F158))</f>
        <v>549473083.70054984</v>
      </c>
    </row>
    <row r="160" spans="1:58" x14ac:dyDescent="0.3">
      <c r="A160" s="351">
        <f t="shared" si="30"/>
        <v>148</v>
      </c>
      <c r="B160" s="352">
        <f t="shared" si="24"/>
        <v>0.99999999999999978</v>
      </c>
      <c r="C160" s="363">
        <f t="shared" si="25"/>
        <v>0.99999999999999989</v>
      </c>
      <c r="D160" s="352">
        <f t="shared" si="26"/>
        <v>1</v>
      </c>
      <c r="E160" s="364">
        <f t="shared" si="27"/>
        <v>1</v>
      </c>
      <c r="F160" s="364">
        <f t="shared" si="28"/>
        <v>1</v>
      </c>
      <c r="G160" s="365">
        <f t="shared" si="29"/>
        <v>1</v>
      </c>
      <c r="P160" s="358">
        <f t="shared" si="31"/>
        <v>148</v>
      </c>
      <c r="Q160" s="359">
        <f>(('Methane Leakage'!$C$6/'Methane Leakage'!$C$5)*102*'Emissions Factors'!$C$38*'Calcs - Power'!$G159+'Emissions Factors'!$C$37*('Calcs - Power'!$H159+'Calcs - Power'!$I159+'Calcs - Power'!$J159+'Calcs - Power'!$K159))</f>
        <v>34647.159441582182</v>
      </c>
      <c r="R160" s="366">
        <f>(('Methane Leakage'!$C$6/'Methane Leakage'!$C$5)*102*'Emissions Factors'!$C$38*'Calcs - Power'!$B159+'Emissions Factors'!$C$37*('Calcs - Power'!$C159+'Calcs - Power'!$D159+'Calcs - Power'!$E159+'Calcs - Power'!$F159))</f>
        <v>3113443.8688691668</v>
      </c>
      <c r="S160" s="359">
        <f>(('Methane Leakage'!$C$6/'Methane Leakage'!$C$5)*102*'Emissions Factors'!$D$38*'Calcs - Power'!$G159+'Emissions Factors'!$D$37*('Calcs - Power'!$H159+'Calcs - Power'!$I159+'Calcs - Power'!$J159+'Calcs - Power'!$K159))</f>
        <v>34647.159441582182</v>
      </c>
      <c r="T160" s="366">
        <f>(('Methane Leakage'!$C$6/'Methane Leakage'!$C$5)*102*'Emissions Factors'!$D$38*'Calcs - Power'!$B159+'Emissions Factors'!$D$37*('Calcs - Power'!$C159+'Calcs - Power'!$D159+'Calcs - Power'!$E159+'Calcs - Power'!$F159))</f>
        <v>3113443.8688691668</v>
      </c>
      <c r="U160" s="361">
        <f>(102*'Emissions Factors'!$C$36*'Calcs - Power'!$G159+'Emissions Factors'!$C$35*('Calcs - Power'!$H159+'Calcs - Power'!$I159+'Calcs - Power'!$J159+'Calcs - Power'!$K159))</f>
        <v>63773.582665518472</v>
      </c>
      <c r="V160" s="366">
        <f>(102*'Emissions Factors'!$C$36*'Calcs - Power'!$B159+'Emissions Factors'!$C$35*('Calcs - Power'!$C159+'Calcs - Power'!$D159+'Calcs - Power'!$E159+'Calcs - Power'!$F159))</f>
        <v>5395454.0110155558</v>
      </c>
      <c r="W160" s="359">
        <f>(102*'Emissions Factors'!$D$36*'Calcs - Power'!$G159+'Emissions Factors'!$D$35*('Calcs - Power'!$H159+'Calcs - Power'!$I159+'Calcs - Power'!$J159+'Calcs - Power'!$K159))</f>
        <v>63773.582665518472</v>
      </c>
      <c r="X160" s="366">
        <f>(102*'Emissions Factors'!$D$36*'Calcs - Power'!$B159+'Emissions Factors'!$D$35*('Calcs - Power'!$C159+'Calcs - Power'!$D159+'Calcs - Power'!$E159+'Calcs - Power'!$F159))</f>
        <v>5395454.0110155558</v>
      </c>
      <c r="Y160" s="359">
        <f>(102*'Emissions Factors'!$C$38*'Calcs - Power'!$G159+'Emissions Factors'!$C$37*('Calcs - Power'!$H159+'Calcs - Power'!$I159+'Calcs - Power'!$J159+'Calcs - Power'!$K159))</f>
        <v>34647.159441582182</v>
      </c>
      <c r="Z160" s="366">
        <f>(102*'Emissions Factors'!$C$38*'Calcs - Power'!$B159+'Emissions Factors'!$C$37*('Calcs - Power'!$C159+'Calcs - Power'!$D159+'Calcs - Power'!$E159+'Calcs - Power'!$F159))</f>
        <v>3113443.8688691668</v>
      </c>
      <c r="AA160" s="359">
        <f>(102*'Emissions Factors'!$C$36*'Calcs - Power'!$G159+'Emissions Factors'!$C$35*('Calcs - Power'!$H159+'Calcs - Power'!$I159+'Calcs - Power'!$J159+'Calcs - Power'!$K159))</f>
        <v>63773.582665518472</v>
      </c>
      <c r="AB160" s="366">
        <f>(102*'Emissions Factors'!$C$36*'Calcs - Power'!$B159+'Emissions Factors'!$C$35*('Calcs - Power'!$C159+'Calcs - Power'!$D159+'Calcs - Power'!$E159+'Calcs - Power'!$F159))</f>
        <v>5395454.0110155558</v>
      </c>
      <c r="AI160" s="358">
        <f t="shared" si="32"/>
        <v>148</v>
      </c>
      <c r="AJ160" s="359">
        <f>(('Methane Leakage'!$G$6/'Methane Leakage'!$G$5)*102*'Emissions Factors'!$D$10*'Calcs - Power'!$G159+'Emissions Factors'!$D$11*('Calcs - Power'!$H159+'Calcs - Power'!$I159+'Calcs - Power'!$J159+'Calcs - Power'!$K159))</f>
        <v>4743.9053485373179</v>
      </c>
      <c r="AK160" s="366">
        <f>(('Methane Leakage'!$G$6/'Methane Leakage'!$G$5)*102*'Emissions Factors'!$D$10*'Calcs - Power'!$B159+'Emissions Factors'!$D$11*('Calcs - Power'!$C159+'Calcs - Power'!$D159+'Calcs - Power'!$E159+'Calcs - Power'!$F159))</f>
        <v>435518.45421697304</v>
      </c>
      <c r="AL160" s="359">
        <f>(102*'Emissions Factors'!$E$10*'Calcs - Power'!$G159+'Emissions Factors'!$E$11*('Calcs - Power'!H159+'Calcs - Power'!I159+'Calcs - Power'!J159+'Calcs - Power'!K159))</f>
        <v>5675.8867937756768</v>
      </c>
      <c r="AM160" s="366">
        <f>(102*'Emissions Factors'!$E$10*'Calcs - Power'!$B159+'Emissions Factors'!$E$11*('Calcs - Power'!C159+'Calcs - Power'!D159+'Calcs - Power'!E159+'Calcs - Power'!F159))</f>
        <v>482513.23271381448</v>
      </c>
      <c r="AN160" s="359">
        <f>(102*'Emissions Factors'!$D$10*'Calcs - Power'!$G159+'Emissions Factors'!$D$11*('Calcs - Power'!$H159+'Calcs - Power'!$I159+'Calcs - Power'!$J159+'Calcs - Power'!$K159))</f>
        <v>4743.9053485373179</v>
      </c>
      <c r="AO160" s="366">
        <f>(102*'Emissions Factors'!$D$10*'Calcs - Power'!$B159+'Emissions Factors'!$D$11*('Calcs - Power'!$C159+'Calcs - Power'!$D159+'Calcs - Power'!$E159+'Calcs - Power'!$F159))</f>
        <v>435518.45421697304</v>
      </c>
      <c r="AP160" s="367">
        <f>(102*'Emissions Factors'!$E$10*'Calcs - Power'!$G159+'Emissions Factors'!$E$11*('Calcs - Power'!H159+'Calcs - Power'!I159+'Calcs - Power'!J159+'Calcs - Power'!K159))</f>
        <v>5675.8867937756768</v>
      </c>
      <c r="AQ160" s="366">
        <f>(102*'Emissions Factors'!$E$10*'Calcs - Power'!$B159+'Emissions Factors'!$E$11*('Calcs - Power'!C159+'Calcs - Power'!D159+'Calcs - Power'!E159+'Calcs - Power'!F159))</f>
        <v>482513.23271381448</v>
      </c>
      <c r="AS160" s="357"/>
      <c r="AT160" s="357"/>
      <c r="AU160" s="357"/>
      <c r="AV160" s="357"/>
      <c r="AX160" s="358">
        <f t="shared" si="33"/>
        <v>148</v>
      </c>
      <c r="AY160" s="359">
        <f>(('Methane Leakage'!$G$6/'Methane Leakage'!$G$5)*102*'Emissions Factors'!$F$10*'Calcs - Power'!$G159+'Emissions Factors'!$F$11*('Calcs - Power'!$H159+'Calcs - Power'!$I159+'Calcs - Power'!$J159+'Calcs - Power'!$K159))</f>
        <v>6531664.8448788412</v>
      </c>
      <c r="AZ160" s="366">
        <f>(('Methane Leakage'!$G$6/'Methane Leakage'!$G$5)*102*'Emissions Factors'!$F$10*'Calcs - Power'!$B159+'Emissions Factors'!$F$11*('Calcs - Power'!$C159+'Calcs - Power'!$D159+'Calcs - Power'!$E159+'Calcs - Power'!$F159))</f>
        <v>586141344.66332197</v>
      </c>
      <c r="BA160" s="359">
        <f>(102*'Emissions Factors'!$G$10*'Calcs - Power'!$G159+'Emissions Factors'!$G$11*('Calcs - Power'!H159+'Calcs - Power'!I159+'Calcs - Power'!J159+'Calcs - Power'!K159))</f>
        <v>6557008.4667240921</v>
      </c>
      <c r="BB160" s="366">
        <f>(102*'Emissions Factors'!$G$10*'Calcs - Power'!$B159+'Emissions Factors'!$G$11*('Calcs - Power'!C159+'Calcs - Power'!D159+'Calcs - Power'!E159+'Calcs - Power'!F159))</f>
        <v>556013723.73471999</v>
      </c>
      <c r="BC160" s="359">
        <f>(102*'Emissions Factors'!$F$10*'Calcs - Power'!$G159+'Emissions Factors'!$F$11*('Calcs - Power'!$H159+'Calcs - Power'!$I159+'Calcs - Power'!$J159+'Calcs - Power'!$K159))</f>
        <v>6531664.8448788412</v>
      </c>
      <c r="BD160" s="366">
        <f>(102*'Emissions Factors'!$F$10*'Calcs - Power'!$B159+'Emissions Factors'!$F$11*('Calcs - Power'!$C159+'Calcs - Power'!$D159+'Calcs - Power'!$E159+'Calcs - Power'!$F159))</f>
        <v>586141344.66332197</v>
      </c>
      <c r="BE160" s="359">
        <f>(102*'Emissions Factors'!$G$10*'Calcs - Power'!$G159+'Emissions Factors'!$G$11*('Calcs - Power'!H159+'Calcs - Power'!I159+'Calcs - Power'!J159+'Calcs - Power'!K159))</f>
        <v>6557008.4667240921</v>
      </c>
      <c r="BF160" s="366">
        <f>(102*'Emissions Factors'!$G$10*'Calcs - Power'!$B159+'Emissions Factors'!$G$11*('Calcs - Power'!C159+'Calcs - Power'!D159+'Calcs - Power'!E159+'Calcs - Power'!F159))</f>
        <v>556013723.73471999</v>
      </c>
    </row>
    <row r="161" spans="1:58" x14ac:dyDescent="0.3">
      <c r="A161" s="351">
        <f t="shared" si="30"/>
        <v>149</v>
      </c>
      <c r="B161" s="352">
        <f t="shared" si="24"/>
        <v>1</v>
      </c>
      <c r="C161" s="363">
        <f t="shared" si="25"/>
        <v>1</v>
      </c>
      <c r="D161" s="352">
        <f t="shared" si="26"/>
        <v>1</v>
      </c>
      <c r="E161" s="364">
        <f t="shared" si="27"/>
        <v>1</v>
      </c>
      <c r="F161" s="364">
        <f t="shared" si="28"/>
        <v>1</v>
      </c>
      <c r="G161" s="365">
        <f t="shared" si="29"/>
        <v>1</v>
      </c>
      <c r="P161" s="358">
        <f t="shared" si="31"/>
        <v>149</v>
      </c>
      <c r="Q161" s="359">
        <f>(('Methane Leakage'!$C$6/'Methane Leakage'!$C$5)*102*'Emissions Factors'!$C$38*'Calcs - Power'!$G160+'Emissions Factors'!$C$37*('Calcs - Power'!$H160+'Calcs - Power'!$I160+'Calcs - Power'!$J160+'Calcs - Power'!$K160))</f>
        <v>34802.777413103795</v>
      </c>
      <c r="R161" s="366">
        <f>(('Methane Leakage'!$C$6/'Methane Leakage'!$C$5)*102*'Emissions Factors'!$C$38*'Calcs - Power'!$B160+'Emissions Factors'!$C$37*('Calcs - Power'!$C160+'Calcs - Power'!$D160+'Calcs - Power'!$E160+'Calcs - Power'!$F160))</f>
        <v>3148168.8627234707</v>
      </c>
      <c r="S161" s="359">
        <f>(('Methane Leakage'!$C$6/'Methane Leakage'!$C$5)*102*'Emissions Factors'!$D$38*'Calcs - Power'!$G160+'Emissions Factors'!$D$37*('Calcs - Power'!$H160+'Calcs - Power'!$I160+'Calcs - Power'!$J160+'Calcs - Power'!$K160))</f>
        <v>34802.777413103795</v>
      </c>
      <c r="T161" s="366">
        <f>(('Methane Leakage'!$C$6/'Methane Leakage'!$C$5)*102*'Emissions Factors'!$D$38*'Calcs - Power'!$B160+'Emissions Factors'!$D$37*('Calcs - Power'!$C160+'Calcs - Power'!$D160+'Calcs - Power'!$E160+'Calcs - Power'!$F160))</f>
        <v>3148168.8627234707</v>
      </c>
      <c r="U161" s="361">
        <f>(102*'Emissions Factors'!$C$36*'Calcs - Power'!$G160+'Emissions Factors'!$C$35*('Calcs - Power'!$H160+'Calcs - Power'!$I160+'Calcs - Power'!$J160+'Calcs - Power'!$K160))</f>
        <v>64092.663182098688</v>
      </c>
      <c r="V161" s="366">
        <f>(102*'Emissions Factors'!$C$36*'Calcs - Power'!$B160+'Emissions Factors'!$C$35*('Calcs - Power'!$C160+'Calcs - Power'!$D160+'Calcs - Power'!$E160+'Calcs - Power'!$F160))</f>
        <v>5459387.1860576915</v>
      </c>
      <c r="W161" s="359">
        <f>(102*'Emissions Factors'!$D$36*'Calcs - Power'!$G160+'Emissions Factors'!$D$35*('Calcs - Power'!$H160+'Calcs - Power'!$I160+'Calcs - Power'!$J160+'Calcs - Power'!$K160))</f>
        <v>64092.663182098688</v>
      </c>
      <c r="X161" s="366">
        <f>(102*'Emissions Factors'!$D$36*'Calcs - Power'!$B160+'Emissions Factors'!$D$35*('Calcs - Power'!$C160+'Calcs - Power'!$D160+'Calcs - Power'!$E160+'Calcs - Power'!$F160))</f>
        <v>5459387.1860576915</v>
      </c>
      <c r="Y161" s="359">
        <f>(102*'Emissions Factors'!$C$38*'Calcs - Power'!$G160+'Emissions Factors'!$C$37*('Calcs - Power'!$H160+'Calcs - Power'!$I160+'Calcs - Power'!$J160+'Calcs - Power'!$K160))</f>
        <v>34802.777413103795</v>
      </c>
      <c r="Z161" s="366">
        <f>(102*'Emissions Factors'!$C$38*'Calcs - Power'!$B160+'Emissions Factors'!$C$37*('Calcs - Power'!$C160+'Calcs - Power'!$D160+'Calcs - Power'!$E160+'Calcs - Power'!$F160))</f>
        <v>3148168.8627234707</v>
      </c>
      <c r="AA161" s="359">
        <f>(102*'Emissions Factors'!$C$36*'Calcs - Power'!$G160+'Emissions Factors'!$C$35*('Calcs - Power'!$H160+'Calcs - Power'!$I160+'Calcs - Power'!$J160+'Calcs - Power'!$K160))</f>
        <v>64092.663182098688</v>
      </c>
      <c r="AB161" s="366">
        <f>(102*'Emissions Factors'!$C$36*'Calcs - Power'!$B160+'Emissions Factors'!$C$35*('Calcs - Power'!$C160+'Calcs - Power'!$D160+'Calcs - Power'!$E160+'Calcs - Power'!$F160))</f>
        <v>5459387.1860576915</v>
      </c>
      <c r="AI161" s="358">
        <f t="shared" si="32"/>
        <v>149</v>
      </c>
      <c r="AJ161" s="359">
        <f>(('Methane Leakage'!$G$6/'Methane Leakage'!$G$5)*102*'Emissions Factors'!$D$10*'Calcs - Power'!$G160+'Emissions Factors'!$D$11*('Calcs - Power'!$H160+'Calcs - Power'!$I160+'Calcs - Power'!$J160+'Calcs - Power'!$K160))</f>
        <v>4764.3147521083201</v>
      </c>
      <c r="AK161" s="366">
        <f>(('Methane Leakage'!$G$6/'Methane Leakage'!$G$5)*102*'Emissions Factors'!$D$10*'Calcs - Power'!$B160+'Emissions Factors'!$D$11*('Calcs - Power'!$C160+'Calcs - Power'!$D160+'Calcs - Power'!$E160+'Calcs - Power'!$F160))</f>
        <v>440272.56760253629</v>
      </c>
      <c r="AL161" s="359">
        <f>(102*'Emissions Factors'!$E$10*'Calcs - Power'!$G160+'Emissions Factors'!$E$11*('Calcs - Power'!H160+'Calcs - Power'!I160+'Calcs - Power'!J160+'Calcs - Power'!K160))</f>
        <v>5704.059846570618</v>
      </c>
      <c r="AM161" s="366">
        <f>(102*'Emissions Factors'!$E$10*'Calcs - Power'!$B160+'Emissions Factors'!$E$11*('Calcs - Power'!C160+'Calcs - Power'!D160+'Calcs - Power'!E160+'Calcs - Power'!F160))</f>
        <v>488203.21063585643</v>
      </c>
      <c r="AN161" s="359">
        <f>(102*'Emissions Factors'!$D$10*'Calcs - Power'!$G160+'Emissions Factors'!$D$11*('Calcs - Power'!$H160+'Calcs - Power'!$I160+'Calcs - Power'!$J160+'Calcs - Power'!$K160))</f>
        <v>4764.3147521083201</v>
      </c>
      <c r="AO161" s="366">
        <f>(102*'Emissions Factors'!$D$10*'Calcs - Power'!$B160+'Emissions Factors'!$D$11*('Calcs - Power'!$C160+'Calcs - Power'!$D160+'Calcs - Power'!$E160+'Calcs - Power'!$F160))</f>
        <v>440272.56760253629</v>
      </c>
      <c r="AP161" s="367">
        <f>(102*'Emissions Factors'!$E$10*'Calcs - Power'!$G160+'Emissions Factors'!$E$11*('Calcs - Power'!H160+'Calcs - Power'!I160+'Calcs - Power'!J160+'Calcs - Power'!K160))</f>
        <v>5704.059846570618</v>
      </c>
      <c r="AQ161" s="366">
        <f>(102*'Emissions Factors'!$E$10*'Calcs - Power'!$B160+'Emissions Factors'!$E$11*('Calcs - Power'!C160+'Calcs - Power'!D160+'Calcs - Power'!E160+'Calcs - Power'!F160))</f>
        <v>488203.21063585643</v>
      </c>
      <c r="AS161" s="357"/>
      <c r="AT161" s="357"/>
      <c r="AU161" s="357"/>
      <c r="AV161" s="357"/>
      <c r="AX161" s="358">
        <f t="shared" si="33"/>
        <v>149</v>
      </c>
      <c r="AY161" s="359">
        <f>(('Methane Leakage'!$G$6/'Methane Leakage'!$G$5)*102*'Emissions Factors'!$F$10*'Calcs - Power'!$G160+'Emissions Factors'!$F$11*('Calcs - Power'!$H160+'Calcs - Power'!$I160+'Calcs - Power'!$J160+'Calcs - Power'!$K160))</f>
        <v>6561080.0783618828</v>
      </c>
      <c r="AZ161" s="366">
        <f>(('Methane Leakage'!$G$6/'Methane Leakage'!$G$5)*102*'Emissions Factors'!$F$10*'Calcs - Power'!$B160+'Emissions Factors'!$F$11*('Calcs - Power'!$C160+'Calcs - Power'!$D160+'Calcs - Power'!$E160+'Calcs - Power'!$F160))</f>
        <v>592687721.93115795</v>
      </c>
      <c r="BA161" s="359">
        <f>(102*'Emissions Factors'!$G$10*'Calcs - Power'!$G160+'Emissions Factors'!$G$11*('Calcs - Power'!H160+'Calcs - Power'!I160+'Calcs - Power'!J160+'Calcs - Power'!K160))</f>
        <v>6589691.8129379498</v>
      </c>
      <c r="BB161" s="366">
        <f>(102*'Emissions Factors'!$G$10*'Calcs - Power'!$B160+'Emissions Factors'!$G$11*('Calcs - Power'!C160+'Calcs - Power'!D160+'Calcs - Power'!E160+'Calcs - Power'!F160))</f>
        <v>562587079.2130785</v>
      </c>
      <c r="BC161" s="359">
        <f>(102*'Emissions Factors'!$F$10*'Calcs - Power'!$G160+'Emissions Factors'!$F$11*('Calcs - Power'!$H160+'Calcs - Power'!$I160+'Calcs - Power'!$J160+'Calcs - Power'!$K160))</f>
        <v>6561080.0783618828</v>
      </c>
      <c r="BD161" s="366">
        <f>(102*'Emissions Factors'!$F$10*'Calcs - Power'!$B160+'Emissions Factors'!$F$11*('Calcs - Power'!$C160+'Calcs - Power'!$D160+'Calcs - Power'!$E160+'Calcs - Power'!$F160))</f>
        <v>592687721.93115795</v>
      </c>
      <c r="BE161" s="359">
        <f>(102*'Emissions Factors'!$G$10*'Calcs - Power'!$G160+'Emissions Factors'!$G$11*('Calcs - Power'!H160+'Calcs - Power'!I160+'Calcs - Power'!J160+'Calcs - Power'!K160))</f>
        <v>6589691.8129379498</v>
      </c>
      <c r="BF161" s="366">
        <f>(102*'Emissions Factors'!$G$10*'Calcs - Power'!$B160+'Emissions Factors'!$G$11*('Calcs - Power'!C160+'Calcs - Power'!D160+'Calcs - Power'!E160+'Calcs - Power'!F160))</f>
        <v>562587079.2130785</v>
      </c>
    </row>
    <row r="162" spans="1:58" x14ac:dyDescent="0.3">
      <c r="A162" s="351">
        <f t="shared" si="30"/>
        <v>150</v>
      </c>
      <c r="B162" s="352">
        <f t="shared" si="24"/>
        <v>1</v>
      </c>
      <c r="C162" s="363">
        <f t="shared" si="25"/>
        <v>0.99999999999999967</v>
      </c>
      <c r="D162" s="352">
        <f t="shared" si="26"/>
        <v>1</v>
      </c>
      <c r="E162" s="364">
        <f t="shared" si="27"/>
        <v>1</v>
      </c>
      <c r="F162" s="364">
        <f t="shared" si="28"/>
        <v>1</v>
      </c>
      <c r="G162" s="365">
        <f t="shared" si="29"/>
        <v>1</v>
      </c>
      <c r="P162" s="358">
        <f t="shared" si="31"/>
        <v>150</v>
      </c>
      <c r="Q162" s="359">
        <f>(('Methane Leakage'!$C$6/'Methane Leakage'!$C$5)*102*'Emissions Factors'!$C$38*'Calcs - Power'!$G161+'Emissions Factors'!$C$37*('Calcs - Power'!$H161+'Calcs - Power'!$I161+'Calcs - Power'!$J161+'Calcs - Power'!$K161))</f>
        <v>34958.091213318919</v>
      </c>
      <c r="R162" s="366">
        <f>(('Methane Leakage'!$C$6/'Methane Leakage'!$C$5)*102*'Emissions Factors'!$C$38*'Calcs - Power'!$B161+'Emissions Factors'!$C$37*('Calcs - Power'!$C161+'Calcs - Power'!$D161+'Calcs - Power'!$E161+'Calcs - Power'!$F161))</f>
        <v>3183049.3223051513</v>
      </c>
      <c r="S162" s="359">
        <f>(('Methane Leakage'!$C$6/'Methane Leakage'!$C$5)*102*'Emissions Factors'!$D$38*'Calcs - Power'!$G161+'Emissions Factors'!$D$37*('Calcs - Power'!$H161+'Calcs - Power'!$I161+'Calcs - Power'!$J161+'Calcs - Power'!$K161))</f>
        <v>34958.091213318919</v>
      </c>
      <c r="T162" s="366">
        <f>(('Methane Leakage'!$C$6/'Methane Leakage'!$C$5)*102*'Emissions Factors'!$D$38*'Calcs - Power'!$B161+'Emissions Factors'!$D$37*('Calcs - Power'!$C161+'Calcs - Power'!$D161+'Calcs - Power'!$E161+'Calcs - Power'!$F161))</f>
        <v>3183049.3223051513</v>
      </c>
      <c r="U162" s="361">
        <f>(102*'Emissions Factors'!$C$36*'Calcs - Power'!$G161+'Emissions Factors'!$C$35*('Calcs - Power'!$H161+'Calcs - Power'!$I161+'Calcs - Power'!$J161+'Calcs - Power'!$K161))</f>
        <v>64411.120222594021</v>
      </c>
      <c r="V162" s="366">
        <f>(102*'Emissions Factors'!$C$36*'Calcs - Power'!$B161+'Emissions Factors'!$C$35*('Calcs - Power'!$C161+'Calcs - Power'!$D161+'Calcs - Power'!$E161+'Calcs - Power'!$F161))</f>
        <v>5523639.1295548091</v>
      </c>
      <c r="W162" s="359">
        <f>(102*'Emissions Factors'!$D$36*'Calcs - Power'!$G161+'Emissions Factors'!$D$35*('Calcs - Power'!$H161+'Calcs - Power'!$I161+'Calcs - Power'!$J161+'Calcs - Power'!$K161))</f>
        <v>64411.120222594021</v>
      </c>
      <c r="X162" s="366">
        <f>(102*'Emissions Factors'!$D$36*'Calcs - Power'!$B161+'Emissions Factors'!$D$35*('Calcs - Power'!$C161+'Calcs - Power'!$D161+'Calcs - Power'!$E161+'Calcs - Power'!$F161))</f>
        <v>5523639.1295548091</v>
      </c>
      <c r="Y162" s="359">
        <f>(102*'Emissions Factors'!$C$38*'Calcs - Power'!$G161+'Emissions Factors'!$C$37*('Calcs - Power'!$H161+'Calcs - Power'!$I161+'Calcs - Power'!$J161+'Calcs - Power'!$K161))</f>
        <v>34958.091213318919</v>
      </c>
      <c r="Z162" s="366">
        <f>(102*'Emissions Factors'!$C$38*'Calcs - Power'!$B161+'Emissions Factors'!$C$37*('Calcs - Power'!$C161+'Calcs - Power'!$D161+'Calcs - Power'!$E161+'Calcs - Power'!$F161))</f>
        <v>3183049.3223051513</v>
      </c>
      <c r="AA162" s="359">
        <f>(102*'Emissions Factors'!$C$36*'Calcs - Power'!$G161+'Emissions Factors'!$C$35*('Calcs - Power'!$H161+'Calcs - Power'!$I161+'Calcs - Power'!$J161+'Calcs - Power'!$K161))</f>
        <v>64411.120222594021</v>
      </c>
      <c r="AB162" s="366">
        <f>(102*'Emissions Factors'!$C$36*'Calcs - Power'!$B161+'Emissions Factors'!$C$35*('Calcs - Power'!$C161+'Calcs - Power'!$D161+'Calcs - Power'!$E161+'Calcs - Power'!$F161))</f>
        <v>5523639.1295548091</v>
      </c>
      <c r="AI162" s="358">
        <f t="shared" si="32"/>
        <v>150</v>
      </c>
      <c r="AJ162" s="359">
        <f>(('Methane Leakage'!$G$6/'Methane Leakage'!$G$5)*102*'Emissions Factors'!$D$10*'Calcs - Power'!$G161+'Emissions Factors'!$D$11*('Calcs - Power'!$H161+'Calcs - Power'!$I161+'Calcs - Power'!$J161+'Calcs - Power'!$K161))</f>
        <v>4784.6842579148479</v>
      </c>
      <c r="AK162" s="366">
        <f>(('Methane Leakage'!$G$6/'Methane Leakage'!$G$5)*102*'Emissions Factors'!$D$10*'Calcs - Power'!$B161+'Emissions Factors'!$D$11*('Calcs - Power'!$C161+'Calcs - Power'!$D161+'Calcs - Power'!$E161+'Calcs - Power'!$F161))</f>
        <v>445047.07042196306</v>
      </c>
      <c r="AL162" s="359">
        <f>(102*'Emissions Factors'!$E$10*'Calcs - Power'!$G161+'Emissions Factors'!$E$11*('Calcs - Power'!H161+'Calcs - Power'!I161+'Calcs - Power'!J161+'Calcs - Power'!K161))</f>
        <v>5732.1778486235517</v>
      </c>
      <c r="AM162" s="366">
        <f>(102*'Emissions Factors'!$E$10*'Calcs - Power'!$B161+'Emissions Factors'!$E$11*('Calcs - Power'!C161+'Calcs - Power'!D161+'Calcs - Power'!E161+'Calcs - Power'!F161))</f>
        <v>493921.3340567454</v>
      </c>
      <c r="AN162" s="359">
        <f>(102*'Emissions Factors'!$D$10*'Calcs - Power'!$G161+'Emissions Factors'!$D$11*('Calcs - Power'!$H161+'Calcs - Power'!$I161+'Calcs - Power'!$J161+'Calcs - Power'!$K161))</f>
        <v>4784.6842579148479</v>
      </c>
      <c r="AO162" s="366">
        <f>(102*'Emissions Factors'!$D$10*'Calcs - Power'!$B161+'Emissions Factors'!$D$11*('Calcs - Power'!$C161+'Calcs - Power'!$D161+'Calcs - Power'!$E161+'Calcs - Power'!$F161))</f>
        <v>445047.07042196306</v>
      </c>
      <c r="AP162" s="367">
        <f>(102*'Emissions Factors'!$E$10*'Calcs - Power'!$G161+'Emissions Factors'!$E$11*('Calcs - Power'!H161+'Calcs - Power'!I161+'Calcs - Power'!J161+'Calcs - Power'!K161))</f>
        <v>5732.1778486235517</v>
      </c>
      <c r="AQ162" s="366">
        <f>(102*'Emissions Factors'!$E$10*'Calcs - Power'!$B161+'Emissions Factors'!$E$11*('Calcs - Power'!C161+'Calcs - Power'!D161+'Calcs - Power'!E161+'Calcs - Power'!F161))</f>
        <v>493921.3340567454</v>
      </c>
      <c r="AS162" s="357"/>
      <c r="AT162" s="357"/>
      <c r="AU162" s="357"/>
      <c r="AV162" s="357"/>
      <c r="AX162" s="358">
        <f t="shared" si="33"/>
        <v>150</v>
      </c>
      <c r="AY162" s="359">
        <f>(('Methane Leakage'!$G$6/'Methane Leakage'!$G$5)*102*'Emissions Factors'!$F$10*'Calcs - Power'!$G161+'Emissions Factors'!$F$11*('Calcs - Power'!$H161+'Calcs - Power'!$I161+'Calcs - Power'!$J161+'Calcs - Power'!$K161))</f>
        <v>6590437.8172284495</v>
      </c>
      <c r="AZ162" s="366">
        <f>(('Methane Leakage'!$G$6/'Methane Leakage'!$G$5)*102*'Emissions Factors'!$F$10*'Calcs - Power'!$B161+'Emissions Factors'!$F$11*('Calcs - Power'!$C161+'Calcs - Power'!$D161+'Calcs - Power'!$E161+'Calcs - Power'!$F161))</f>
        <v>599263485.65521359</v>
      </c>
      <c r="BA162" s="359">
        <f>(102*'Emissions Factors'!$G$10*'Calcs - Power'!$G161+'Emissions Factors'!$G$11*('Calcs - Power'!H161+'Calcs - Power'!I161+'Calcs - Power'!J161+'Calcs - Power'!K161))</f>
        <v>6622311.2959572701</v>
      </c>
      <c r="BB162" s="366">
        <f>(102*'Emissions Factors'!$G$10*'Calcs - Power'!$B161+'Emissions Factors'!$G$11*('Calcs - Power'!C161+'Calcs - Power'!D161+'Calcs - Power'!E161+'Calcs - Power'!F161))</f>
        <v>569193086.07290721</v>
      </c>
      <c r="BC162" s="359">
        <f>(102*'Emissions Factors'!$F$10*'Calcs - Power'!$G161+'Emissions Factors'!$F$11*('Calcs - Power'!$H161+'Calcs - Power'!$I161+'Calcs - Power'!$J161+'Calcs - Power'!$K161))</f>
        <v>6590437.8172284495</v>
      </c>
      <c r="BD162" s="366">
        <f>(102*'Emissions Factors'!$F$10*'Calcs - Power'!$B161+'Emissions Factors'!$F$11*('Calcs - Power'!$C161+'Calcs - Power'!$D161+'Calcs - Power'!$E161+'Calcs - Power'!$F161))</f>
        <v>599263485.65521359</v>
      </c>
      <c r="BE162" s="359">
        <f>(102*'Emissions Factors'!$G$10*'Calcs - Power'!$G161+'Emissions Factors'!$G$11*('Calcs - Power'!H161+'Calcs - Power'!I161+'Calcs - Power'!J161+'Calcs - Power'!K161))</f>
        <v>6622311.2959572701</v>
      </c>
      <c r="BF162" s="366">
        <f>(102*'Emissions Factors'!$G$10*'Calcs - Power'!$B161+'Emissions Factors'!$G$11*('Calcs - Power'!C161+'Calcs - Power'!D161+'Calcs - Power'!E161+'Calcs - Power'!F161))</f>
        <v>569193086.07290721</v>
      </c>
    </row>
    <row r="163" spans="1:58" x14ac:dyDescent="0.3">
      <c r="A163" s="351">
        <f t="shared" si="30"/>
        <v>151</v>
      </c>
      <c r="B163" s="352">
        <f t="shared" si="24"/>
        <v>1</v>
      </c>
      <c r="C163" s="363">
        <f t="shared" si="25"/>
        <v>1</v>
      </c>
      <c r="D163" s="352">
        <f t="shared" si="26"/>
        <v>1</v>
      </c>
      <c r="E163" s="364">
        <f t="shared" si="27"/>
        <v>1</v>
      </c>
      <c r="F163" s="364">
        <f t="shared" si="28"/>
        <v>1</v>
      </c>
      <c r="G163" s="365">
        <f t="shared" si="29"/>
        <v>1</v>
      </c>
      <c r="P163" s="358">
        <f t="shared" si="31"/>
        <v>151</v>
      </c>
      <c r="Q163" s="359">
        <f>(('Methane Leakage'!$C$6/'Methane Leakage'!$C$5)*102*'Emissions Factors'!$C$38*'Calcs - Power'!$G162+'Emissions Factors'!$C$37*('Calcs - Power'!$H162+'Calcs - Power'!$I162+'Calcs - Power'!$J162+'Calcs - Power'!$K162))</f>
        <v>35113.102734735054</v>
      </c>
      <c r="R163" s="366">
        <f>(('Methane Leakage'!$C$6/'Methane Leakage'!$C$5)*102*'Emissions Factors'!$C$38*'Calcs - Power'!$B162+'Emissions Factors'!$C$37*('Calcs - Power'!$C162+'Calcs - Power'!$D162+'Calcs - Power'!$E162+'Calcs - Power'!$F162))</f>
        <v>3218084.9443907137</v>
      </c>
      <c r="S163" s="359">
        <f>(('Methane Leakage'!$C$6/'Methane Leakage'!$C$5)*102*'Emissions Factors'!$D$38*'Calcs - Power'!$G162+'Emissions Factors'!$D$37*('Calcs - Power'!$H162+'Calcs - Power'!$I162+'Calcs - Power'!$J162+'Calcs - Power'!$K162))</f>
        <v>35113.102734735054</v>
      </c>
      <c r="T163" s="366">
        <f>(('Methane Leakage'!$C$6/'Methane Leakage'!$C$5)*102*'Emissions Factors'!$D$38*'Calcs - Power'!$B162+'Emissions Factors'!$D$37*('Calcs - Power'!$C162+'Calcs - Power'!$D162+'Calcs - Power'!$E162+'Calcs - Power'!$F162))</f>
        <v>3218084.9443907137</v>
      </c>
      <c r="U163" s="361">
        <f>(102*'Emissions Factors'!$C$36*'Calcs - Power'!$G162+'Emissions Factors'!$C$35*('Calcs - Power'!$H162+'Calcs - Power'!$I162+'Calcs - Power'!$J162+'Calcs - Power'!$K162))</f>
        <v>64728.957651095181</v>
      </c>
      <c r="V163" s="366">
        <f>(102*'Emissions Factors'!$C$36*'Calcs - Power'!$B162+'Emissions Factors'!$C$35*('Calcs - Power'!$C162+'Calcs - Power'!$D162+'Calcs - Power'!$E162+'Calcs - Power'!$F162))</f>
        <v>5588209.2199659534</v>
      </c>
      <c r="W163" s="359">
        <f>(102*'Emissions Factors'!$D$36*'Calcs - Power'!$G162+'Emissions Factors'!$D$35*('Calcs - Power'!$H162+'Calcs - Power'!$I162+'Calcs - Power'!$J162+'Calcs - Power'!$K162))</f>
        <v>64728.957651095181</v>
      </c>
      <c r="X163" s="366">
        <f>(102*'Emissions Factors'!$D$36*'Calcs - Power'!$B162+'Emissions Factors'!$D$35*('Calcs - Power'!$C162+'Calcs - Power'!$D162+'Calcs - Power'!$E162+'Calcs - Power'!$F162))</f>
        <v>5588209.2199659534</v>
      </c>
      <c r="Y163" s="359">
        <f>(102*'Emissions Factors'!$C$38*'Calcs - Power'!$G162+'Emissions Factors'!$C$37*('Calcs - Power'!$H162+'Calcs - Power'!$I162+'Calcs - Power'!$J162+'Calcs - Power'!$K162))</f>
        <v>35113.102734735054</v>
      </c>
      <c r="Z163" s="366">
        <f>(102*'Emissions Factors'!$C$38*'Calcs - Power'!$B162+'Emissions Factors'!$C$37*('Calcs - Power'!$C162+'Calcs - Power'!$D162+'Calcs - Power'!$E162+'Calcs - Power'!$F162))</f>
        <v>3218084.9443907137</v>
      </c>
      <c r="AA163" s="359">
        <f>(102*'Emissions Factors'!$C$36*'Calcs - Power'!$G162+'Emissions Factors'!$C$35*('Calcs - Power'!$H162+'Calcs - Power'!$I162+'Calcs - Power'!$J162+'Calcs - Power'!$K162))</f>
        <v>64728.957651095181</v>
      </c>
      <c r="AB163" s="366">
        <f>(102*'Emissions Factors'!$C$36*'Calcs - Power'!$B162+'Emissions Factors'!$C$35*('Calcs - Power'!$C162+'Calcs - Power'!$D162+'Calcs - Power'!$E162+'Calcs - Power'!$F162))</f>
        <v>5588209.2199659534</v>
      </c>
      <c r="AI163" s="358">
        <f t="shared" si="32"/>
        <v>151</v>
      </c>
      <c r="AJ163" s="359">
        <f>(('Methane Leakage'!$G$6/'Methane Leakage'!$G$5)*102*'Emissions Factors'!$D$10*'Calcs - Power'!$G162+'Emissions Factors'!$D$11*('Calcs - Power'!$H162+'Calcs - Power'!$I162+'Calcs - Power'!$J162+'Calcs - Power'!$K162))</f>
        <v>4805.0141146095957</v>
      </c>
      <c r="AK163" s="366">
        <f>(('Methane Leakage'!$G$6/'Methane Leakage'!$G$5)*102*'Emissions Factors'!$D$10*'Calcs - Power'!$B162+'Emissions Factors'!$D$11*('Calcs - Power'!$C162+'Calcs - Power'!$D162+'Calcs - Power'!$E162+'Calcs - Power'!$F162))</f>
        <v>449841.9229020226</v>
      </c>
      <c r="AL163" s="359">
        <f>(102*'Emissions Factors'!$E$10*'Calcs - Power'!$G162+'Emissions Factors'!$E$11*('Calcs - Power'!H162+'Calcs - Power'!I162+'Calcs - Power'!J162+'Calcs - Power'!K162))</f>
        <v>5760.241141213558</v>
      </c>
      <c r="AM163" s="366">
        <f>(102*'Emissions Factors'!$E$10*'Calcs - Power'!$B162+'Emissions Factors'!$E$11*('Calcs - Power'!C162+'Calcs - Power'!D162+'Calcs - Power'!E162+'Calcs - Power'!F162))</f>
        <v>499667.54809665174</v>
      </c>
      <c r="AN163" s="359">
        <f>(102*'Emissions Factors'!$D$10*'Calcs - Power'!$G162+'Emissions Factors'!$D$11*('Calcs - Power'!$H162+'Calcs - Power'!$I162+'Calcs - Power'!$J162+'Calcs - Power'!$K162))</f>
        <v>4805.0141146095957</v>
      </c>
      <c r="AO163" s="366">
        <f>(102*'Emissions Factors'!$D$10*'Calcs - Power'!$B162+'Emissions Factors'!$D$11*('Calcs - Power'!$C162+'Calcs - Power'!$D162+'Calcs - Power'!$E162+'Calcs - Power'!$F162))</f>
        <v>449841.9229020226</v>
      </c>
      <c r="AP163" s="367">
        <f>(102*'Emissions Factors'!$E$10*'Calcs - Power'!$G162+'Emissions Factors'!$E$11*('Calcs - Power'!H162+'Calcs - Power'!I162+'Calcs - Power'!J162+'Calcs - Power'!K162))</f>
        <v>5760.241141213558</v>
      </c>
      <c r="AQ163" s="366">
        <f>(102*'Emissions Factors'!$E$10*'Calcs - Power'!$B162+'Emissions Factors'!$E$11*('Calcs - Power'!C162+'Calcs - Power'!D162+'Calcs - Power'!E162+'Calcs - Power'!F162))</f>
        <v>499667.54809665174</v>
      </c>
      <c r="AS163" s="357"/>
      <c r="AT163" s="357"/>
      <c r="AU163" s="357"/>
      <c r="AV163" s="357"/>
      <c r="AX163" s="358">
        <f t="shared" si="33"/>
        <v>151</v>
      </c>
      <c r="AY163" s="359">
        <f>(('Methane Leakage'!$G$6/'Methane Leakage'!$G$5)*102*'Emissions Factors'!$F$10*'Calcs - Power'!$G162+'Emissions Factors'!$F$11*('Calcs - Power'!$H162+'Calcs - Power'!$I162+'Calcs - Power'!$J162+'Calcs - Power'!$K162))</f>
        <v>6619738.41916514</v>
      </c>
      <c r="AZ163" s="366">
        <f>(('Methane Leakage'!$G$6/'Methane Leakage'!$G$5)*102*'Emissions Factors'!$F$10*'Calcs - Power'!$B162+'Emissions Factors'!$F$11*('Calcs - Power'!$C162+'Calcs - Power'!$D162+'Calcs - Power'!$E162+'Calcs - Power'!$F162))</f>
        <v>605868578.52001011</v>
      </c>
      <c r="BA163" s="359">
        <f>(102*'Emissions Factors'!$G$10*'Calcs - Power'!$G162+'Emissions Factors'!$G$11*('Calcs - Power'!H162+'Calcs - Power'!I162+'Calcs - Power'!J162+'Calcs - Power'!K162))</f>
        <v>6654867.3116354691</v>
      </c>
      <c r="BB163" s="366">
        <f>(102*'Emissions Factors'!$G$10*'Calcs - Power'!$B162+'Emissions Factors'!$G$11*('Calcs - Power'!C162+'Calcs - Power'!D162+'Calcs - Power'!E162+'Calcs - Power'!F162))</f>
        <v>575831680.6492542</v>
      </c>
      <c r="BC163" s="359">
        <f>(102*'Emissions Factors'!$F$10*'Calcs - Power'!$G162+'Emissions Factors'!$F$11*('Calcs - Power'!$H162+'Calcs - Power'!$I162+'Calcs - Power'!$J162+'Calcs - Power'!$K162))</f>
        <v>6619738.41916514</v>
      </c>
      <c r="BD163" s="366">
        <f>(102*'Emissions Factors'!$F$10*'Calcs - Power'!$B162+'Emissions Factors'!$F$11*('Calcs - Power'!$C162+'Calcs - Power'!$D162+'Calcs - Power'!$E162+'Calcs - Power'!$F162))</f>
        <v>605868578.52001011</v>
      </c>
      <c r="BE163" s="359">
        <f>(102*'Emissions Factors'!$G$10*'Calcs - Power'!$G162+'Emissions Factors'!$G$11*('Calcs - Power'!H162+'Calcs - Power'!I162+'Calcs - Power'!J162+'Calcs - Power'!K162))</f>
        <v>6654867.3116354691</v>
      </c>
      <c r="BF163" s="366">
        <f>(102*'Emissions Factors'!$G$10*'Calcs - Power'!$B162+'Emissions Factors'!$G$11*('Calcs - Power'!C162+'Calcs - Power'!D162+'Calcs - Power'!E162+'Calcs - Power'!F162))</f>
        <v>575831680.6492542</v>
      </c>
    </row>
    <row r="164" spans="1:58" x14ac:dyDescent="0.3">
      <c r="A164" s="351">
        <f t="shared" si="30"/>
        <v>152</v>
      </c>
      <c r="B164" s="352">
        <f t="shared" si="24"/>
        <v>0.99999999999999978</v>
      </c>
      <c r="C164" s="363">
        <f t="shared" si="25"/>
        <v>1</v>
      </c>
      <c r="D164" s="352">
        <f t="shared" si="26"/>
        <v>1</v>
      </c>
      <c r="E164" s="364">
        <f t="shared" si="27"/>
        <v>1</v>
      </c>
      <c r="F164" s="364">
        <f t="shared" si="28"/>
        <v>1</v>
      </c>
      <c r="G164" s="365">
        <f t="shared" si="29"/>
        <v>1</v>
      </c>
      <c r="P164" s="358">
        <f t="shared" si="31"/>
        <v>152</v>
      </c>
      <c r="Q164" s="359">
        <f>(('Methane Leakage'!$C$6/'Methane Leakage'!$C$5)*102*'Emissions Factors'!$C$38*'Calcs - Power'!$G163+'Emissions Factors'!$C$37*('Calcs - Power'!$H163+'Calcs - Power'!$I163+'Calcs - Power'!$J163+'Calcs - Power'!$K163))</f>
        <v>35267.813851440347</v>
      </c>
      <c r="R164" s="366">
        <f>(('Methane Leakage'!$C$6/'Methane Leakage'!$C$5)*102*'Emissions Factors'!$C$38*'Calcs - Power'!$B163+'Emissions Factors'!$C$37*('Calcs - Power'!$C163+'Calcs - Power'!$D163+'Calcs - Power'!$E163+'Calcs - Power'!$F163))</f>
        <v>3253275.4276399161</v>
      </c>
      <c r="S164" s="359">
        <f>(('Methane Leakage'!$C$6/'Methane Leakage'!$C$5)*102*'Emissions Factors'!$D$38*'Calcs - Power'!$G163+'Emissions Factors'!$D$37*('Calcs - Power'!$H163+'Calcs - Power'!$I163+'Calcs - Power'!$J163+'Calcs - Power'!$K163))</f>
        <v>35267.813851440347</v>
      </c>
      <c r="T164" s="366">
        <f>(('Methane Leakage'!$C$6/'Methane Leakage'!$C$5)*102*'Emissions Factors'!$D$38*'Calcs - Power'!$B163+'Emissions Factors'!$D$37*('Calcs - Power'!$C163+'Calcs - Power'!$D163+'Calcs - Power'!$E163+'Calcs - Power'!$F163))</f>
        <v>3253275.4276399161</v>
      </c>
      <c r="U164" s="361">
        <f>(102*'Emissions Factors'!$C$36*'Calcs - Power'!$G163+'Emissions Factors'!$C$35*('Calcs - Power'!$H163+'Calcs - Power'!$I163+'Calcs - Power'!$J163+'Calcs - Power'!$K163))</f>
        <v>65046.179295233007</v>
      </c>
      <c r="V164" s="366">
        <f>(102*'Emissions Factors'!$C$36*'Calcs - Power'!$B163+'Emissions Factors'!$C$35*('Calcs - Power'!$C163+'Calcs - Power'!$D163+'Calcs - Power'!$E163+'Calcs - Power'!$F163))</f>
        <v>5653096.83959594</v>
      </c>
      <c r="W164" s="359">
        <f>(102*'Emissions Factors'!$D$36*'Calcs - Power'!$G163+'Emissions Factors'!$D$35*('Calcs - Power'!$H163+'Calcs - Power'!$I163+'Calcs - Power'!$J163+'Calcs - Power'!$K163))</f>
        <v>65046.179295233007</v>
      </c>
      <c r="X164" s="366">
        <f>(102*'Emissions Factors'!$D$36*'Calcs - Power'!$B163+'Emissions Factors'!$D$35*('Calcs - Power'!$C163+'Calcs - Power'!$D163+'Calcs - Power'!$E163+'Calcs - Power'!$F163))</f>
        <v>5653096.83959594</v>
      </c>
      <c r="Y164" s="359">
        <f>(102*'Emissions Factors'!$C$38*'Calcs - Power'!$G163+'Emissions Factors'!$C$37*('Calcs - Power'!$H163+'Calcs - Power'!$I163+'Calcs - Power'!$J163+'Calcs - Power'!$K163))</f>
        <v>35267.813851440347</v>
      </c>
      <c r="Z164" s="366">
        <f>(102*'Emissions Factors'!$C$38*'Calcs - Power'!$B163+'Emissions Factors'!$C$37*('Calcs - Power'!$C163+'Calcs - Power'!$D163+'Calcs - Power'!$E163+'Calcs - Power'!$F163))</f>
        <v>3253275.4276399161</v>
      </c>
      <c r="AA164" s="359">
        <f>(102*'Emissions Factors'!$C$36*'Calcs - Power'!$G163+'Emissions Factors'!$C$35*('Calcs - Power'!$H163+'Calcs - Power'!$I163+'Calcs - Power'!$J163+'Calcs - Power'!$K163))</f>
        <v>65046.179295233007</v>
      </c>
      <c r="AB164" s="366">
        <f>(102*'Emissions Factors'!$C$36*'Calcs - Power'!$B163+'Emissions Factors'!$C$35*('Calcs - Power'!$C163+'Calcs - Power'!$D163+'Calcs - Power'!$E163+'Calcs - Power'!$F163))</f>
        <v>5653096.83959594</v>
      </c>
      <c r="AI164" s="358">
        <f t="shared" si="32"/>
        <v>152</v>
      </c>
      <c r="AJ164" s="359">
        <f>(('Methane Leakage'!$G$6/'Methane Leakage'!$G$5)*102*'Emissions Factors'!$D$10*'Calcs - Power'!$G163+'Emissions Factors'!$D$11*('Calcs - Power'!$H163+'Calcs - Power'!$I163+'Calcs - Power'!$J163+'Calcs - Power'!$K163))</f>
        <v>4825.3045683935843</v>
      </c>
      <c r="AK164" s="366">
        <f>(('Methane Leakage'!$G$6/'Methane Leakage'!$G$5)*102*'Emissions Factors'!$D$10*'Calcs - Power'!$B163+'Emissions Factors'!$D$11*('Calcs - Power'!$C163+'Calcs - Power'!$D163+'Calcs - Power'!$E163+'Calcs - Power'!$F163))</f>
        <v>454657.08551690512</v>
      </c>
      <c r="AL164" s="359">
        <f>(102*'Emissions Factors'!$E$10*'Calcs - Power'!$G163+'Emissions Factors'!$E$11*('Calcs - Power'!H163+'Calcs - Power'!I163+'Calcs - Power'!J163+'Calcs - Power'!K163))</f>
        <v>5788.2500623924179</v>
      </c>
      <c r="AM164" s="366">
        <f>(102*'Emissions Factors'!$E$10*'Calcs - Power'!$B163+'Emissions Factors'!$E$11*('Calcs - Power'!C163+'Calcs - Power'!D163+'Calcs - Power'!E163+'Calcs - Power'!F163))</f>
        <v>505441.79821540369</v>
      </c>
      <c r="AN164" s="359">
        <f>(102*'Emissions Factors'!$D$10*'Calcs - Power'!$G163+'Emissions Factors'!$D$11*('Calcs - Power'!$H163+'Calcs - Power'!$I163+'Calcs - Power'!$J163+'Calcs - Power'!$K163))</f>
        <v>4825.3045683935843</v>
      </c>
      <c r="AO164" s="366">
        <f>(102*'Emissions Factors'!$D$10*'Calcs - Power'!$B163+'Emissions Factors'!$D$11*('Calcs - Power'!$C163+'Calcs - Power'!$D163+'Calcs - Power'!$E163+'Calcs - Power'!$F163))</f>
        <v>454657.08551690512</v>
      </c>
      <c r="AP164" s="367">
        <f>(102*'Emissions Factors'!$E$10*'Calcs - Power'!$G163+'Emissions Factors'!$E$11*('Calcs - Power'!H163+'Calcs - Power'!I163+'Calcs - Power'!J163+'Calcs - Power'!K163))</f>
        <v>5788.2500623924179</v>
      </c>
      <c r="AQ164" s="366">
        <f>(102*'Emissions Factors'!$E$10*'Calcs - Power'!$B163+'Emissions Factors'!$E$11*('Calcs - Power'!C163+'Calcs - Power'!D163+'Calcs - Power'!E163+'Calcs - Power'!F163))</f>
        <v>505441.79821540369</v>
      </c>
      <c r="AS164" s="357"/>
      <c r="AT164" s="357"/>
      <c r="AU164" s="357"/>
      <c r="AV164" s="357"/>
      <c r="AX164" s="358">
        <f t="shared" si="33"/>
        <v>152</v>
      </c>
      <c r="AY164" s="359">
        <f>(('Methane Leakage'!$G$6/'Methane Leakage'!$G$5)*102*'Emissions Factors'!$F$10*'Calcs - Power'!$G163+'Emissions Factors'!$F$11*('Calcs - Power'!$H163+'Calcs - Power'!$I163+'Calcs - Power'!$J163+'Calcs - Power'!$K163))</f>
        <v>6648982.2383800242</v>
      </c>
      <c r="AZ164" s="366">
        <f>(('Methane Leakage'!$G$6/'Methane Leakage'!$G$5)*102*'Emissions Factors'!$F$10*'Calcs - Power'!$B163+'Emissions Factors'!$F$11*('Calcs - Power'!$C163+'Calcs - Power'!$D163+'Calcs - Power'!$E163+'Calcs - Power'!$F163))</f>
        <v>612502943.56600749</v>
      </c>
      <c r="BA164" s="359">
        <f>(102*'Emissions Factors'!$G$10*'Calcs - Power'!$G163+'Emissions Factors'!$G$11*('Calcs - Power'!H163+'Calcs - Power'!I163+'Calcs - Power'!J163+'Calcs - Power'!K163))</f>
        <v>6687360.2520869514</v>
      </c>
      <c r="BB164" s="366">
        <f>(102*'Emissions Factors'!$G$10*'Calcs - Power'!$B163+'Emissions Factors'!$G$11*('Calcs - Power'!C163+'Calcs - Power'!D163+'Calcs - Power'!E163+'Calcs - Power'!F163))</f>
        <v>582502799.67114294</v>
      </c>
      <c r="BC164" s="359">
        <f>(102*'Emissions Factors'!$F$10*'Calcs - Power'!$G163+'Emissions Factors'!$F$11*('Calcs - Power'!$H163+'Calcs - Power'!$I163+'Calcs - Power'!$J163+'Calcs - Power'!$K163))</f>
        <v>6648982.2383800242</v>
      </c>
      <c r="BD164" s="366">
        <f>(102*'Emissions Factors'!$F$10*'Calcs - Power'!$B163+'Emissions Factors'!$F$11*('Calcs - Power'!$C163+'Calcs - Power'!$D163+'Calcs - Power'!$E163+'Calcs - Power'!$F163))</f>
        <v>612502943.56600749</v>
      </c>
      <c r="BE164" s="359">
        <f>(102*'Emissions Factors'!$G$10*'Calcs - Power'!$G163+'Emissions Factors'!$G$11*('Calcs - Power'!H163+'Calcs - Power'!I163+'Calcs - Power'!J163+'Calcs - Power'!K163))</f>
        <v>6687360.2520869514</v>
      </c>
      <c r="BF164" s="366">
        <f>(102*'Emissions Factors'!$G$10*'Calcs - Power'!$B163+'Emissions Factors'!$G$11*('Calcs - Power'!C163+'Calcs - Power'!D163+'Calcs - Power'!E163+'Calcs - Power'!F163))</f>
        <v>582502799.67114294</v>
      </c>
    </row>
    <row r="165" spans="1:58" x14ac:dyDescent="0.3">
      <c r="A165" s="351">
        <f t="shared" si="30"/>
        <v>153</v>
      </c>
      <c r="B165" s="352">
        <f t="shared" si="24"/>
        <v>1</v>
      </c>
      <c r="C165" s="363">
        <f t="shared" si="25"/>
        <v>1</v>
      </c>
      <c r="D165" s="352">
        <f t="shared" si="26"/>
        <v>1</v>
      </c>
      <c r="E165" s="364">
        <f t="shared" si="27"/>
        <v>1</v>
      </c>
      <c r="F165" s="364">
        <f t="shared" si="28"/>
        <v>1</v>
      </c>
      <c r="G165" s="365">
        <f t="shared" si="29"/>
        <v>1</v>
      </c>
      <c r="P165" s="358">
        <f t="shared" si="31"/>
        <v>153</v>
      </c>
      <c r="Q165" s="359">
        <f>(('Methane Leakage'!$C$6/'Methane Leakage'!$C$5)*102*'Emissions Factors'!$C$38*'Calcs - Power'!$G164+'Emissions Factors'!$C$37*('Calcs - Power'!$H164+'Calcs - Power'!$I164+'Calcs - Power'!$J164+'Calcs - Power'!$K164))</f>
        <v>35422.226419622864</v>
      </c>
      <c r="R165" s="366">
        <f>(('Methane Leakage'!$C$6/'Methane Leakage'!$C$5)*102*'Emissions Factors'!$C$38*'Calcs - Power'!$B164+'Emissions Factors'!$C$37*('Calcs - Power'!$C164+'Calcs - Power'!$D164+'Calcs - Power'!$E164+'Calcs - Power'!$F164))</f>
        <v>3288620.4725776133</v>
      </c>
      <c r="S165" s="359">
        <f>(('Methane Leakage'!$C$6/'Methane Leakage'!$C$5)*102*'Emissions Factors'!$D$38*'Calcs - Power'!$G164+'Emissions Factors'!$D$37*('Calcs - Power'!$H164+'Calcs - Power'!$I164+'Calcs - Power'!$J164+'Calcs - Power'!$K164))</f>
        <v>35422.226419622864</v>
      </c>
      <c r="T165" s="366">
        <f>(('Methane Leakage'!$C$6/'Methane Leakage'!$C$5)*102*'Emissions Factors'!$D$38*'Calcs - Power'!$B164+'Emissions Factors'!$D$37*('Calcs - Power'!$C164+'Calcs - Power'!$D164+'Calcs - Power'!$E164+'Calcs - Power'!$F164))</f>
        <v>3288620.4725776133</v>
      </c>
      <c r="U165" s="361">
        <f>(102*'Emissions Factors'!$C$36*'Calcs - Power'!$G164+'Emissions Factors'!$C$35*('Calcs - Power'!$H164+'Calcs - Power'!$I164+'Calcs - Power'!$J164+'Calcs - Power'!$K164))</f>
        <v>65362.788947138717</v>
      </c>
      <c r="V165" s="366">
        <f>(102*'Emissions Factors'!$C$36*'Calcs - Power'!$B164+'Emissions Factors'!$C$35*('Calcs - Power'!$C164+'Calcs - Power'!$D164+'Calcs - Power'!$E164+'Calcs - Power'!$F164))</f>
        <v>5718301.3745593932</v>
      </c>
      <c r="W165" s="359">
        <f>(102*'Emissions Factors'!$D$36*'Calcs - Power'!$G164+'Emissions Factors'!$D$35*('Calcs - Power'!$H164+'Calcs - Power'!$I164+'Calcs - Power'!$J164+'Calcs - Power'!$K164))</f>
        <v>65362.788947138717</v>
      </c>
      <c r="X165" s="366">
        <f>(102*'Emissions Factors'!$D$36*'Calcs - Power'!$B164+'Emissions Factors'!$D$35*('Calcs - Power'!$C164+'Calcs - Power'!$D164+'Calcs - Power'!$E164+'Calcs - Power'!$F164))</f>
        <v>5718301.3745593932</v>
      </c>
      <c r="Y165" s="359">
        <f>(102*'Emissions Factors'!$C$38*'Calcs - Power'!$G164+'Emissions Factors'!$C$37*('Calcs - Power'!$H164+'Calcs - Power'!$I164+'Calcs - Power'!$J164+'Calcs - Power'!$K164))</f>
        <v>35422.226419622864</v>
      </c>
      <c r="Z165" s="366">
        <f>(102*'Emissions Factors'!$C$38*'Calcs - Power'!$B164+'Emissions Factors'!$C$37*('Calcs - Power'!$C164+'Calcs - Power'!$D164+'Calcs - Power'!$E164+'Calcs - Power'!$F164))</f>
        <v>3288620.4725776133</v>
      </c>
      <c r="AA165" s="359">
        <f>(102*'Emissions Factors'!$C$36*'Calcs - Power'!$G164+'Emissions Factors'!$C$35*('Calcs - Power'!$H164+'Calcs - Power'!$I164+'Calcs - Power'!$J164+'Calcs - Power'!$K164))</f>
        <v>65362.788947138717</v>
      </c>
      <c r="AB165" s="366">
        <f>(102*'Emissions Factors'!$C$36*'Calcs - Power'!$B164+'Emissions Factors'!$C$35*('Calcs - Power'!$C164+'Calcs - Power'!$D164+'Calcs - Power'!$E164+'Calcs - Power'!$F164))</f>
        <v>5718301.3745593932</v>
      </c>
      <c r="AI165" s="358">
        <f t="shared" si="32"/>
        <v>153</v>
      </c>
      <c r="AJ165" s="359">
        <f>(('Methane Leakage'!$G$6/'Methane Leakage'!$G$5)*102*'Emissions Factors'!$D$10*'Calcs - Power'!$G164+'Emissions Factors'!$D$11*('Calcs - Power'!$H164+'Calcs - Power'!$I164+'Calcs - Power'!$J164+'Calcs - Power'!$K164))</f>
        <v>4845.5558630871374</v>
      </c>
      <c r="AK165" s="366">
        <f>(('Methane Leakage'!$G$6/'Methane Leakage'!$G$5)*102*'Emissions Factors'!$D$10*'Calcs - Power'!$B164+'Emissions Factors'!$D$11*('Calcs - Power'!$C164+'Calcs - Power'!$D164+'Calcs - Power'!$E164+'Calcs - Power'!$F164))</f>
        <v>459492.51898580545</v>
      </c>
      <c r="AL165" s="359">
        <f>(102*'Emissions Factors'!$E$10*'Calcs - Power'!$G164+'Emissions Factors'!$E$11*('Calcs - Power'!H164+'Calcs - Power'!I164+'Calcs - Power'!J164+'Calcs - Power'!K164))</f>
        <v>5816.2049470700313</v>
      </c>
      <c r="AM165" s="366">
        <f>(102*'Emissions Factors'!$E$10*'Calcs - Power'!$B164+'Emissions Factors'!$E$11*('Calcs - Power'!C164+'Calcs - Power'!D164+'Calcs - Power'!E164+'Calcs - Power'!F164))</f>
        <v>511244.03020930354</v>
      </c>
      <c r="AN165" s="359">
        <f>(102*'Emissions Factors'!$D$10*'Calcs - Power'!$G164+'Emissions Factors'!$D$11*('Calcs - Power'!$H164+'Calcs - Power'!$I164+'Calcs - Power'!$J164+'Calcs - Power'!$K164))</f>
        <v>4845.5558630871374</v>
      </c>
      <c r="AO165" s="366">
        <f>(102*'Emissions Factors'!$D$10*'Calcs - Power'!$B164+'Emissions Factors'!$D$11*('Calcs - Power'!$C164+'Calcs - Power'!$D164+'Calcs - Power'!$E164+'Calcs - Power'!$F164))</f>
        <v>459492.51898580545</v>
      </c>
      <c r="AP165" s="367">
        <f>(102*'Emissions Factors'!$E$10*'Calcs - Power'!$G164+'Emissions Factors'!$E$11*('Calcs - Power'!H164+'Calcs - Power'!I164+'Calcs - Power'!J164+'Calcs - Power'!K164))</f>
        <v>5816.2049470700313</v>
      </c>
      <c r="AQ165" s="366">
        <f>(102*'Emissions Factors'!$E$10*'Calcs - Power'!$B164+'Emissions Factors'!$E$11*('Calcs - Power'!C164+'Calcs - Power'!D164+'Calcs - Power'!E164+'Calcs - Power'!F164))</f>
        <v>511244.03020930354</v>
      </c>
      <c r="AS165" s="357"/>
      <c r="AT165" s="357"/>
      <c r="AU165" s="357"/>
      <c r="AV165" s="357"/>
      <c r="AX165" s="358">
        <f t="shared" si="33"/>
        <v>153</v>
      </c>
      <c r="AY165" s="359">
        <f>(('Methane Leakage'!$G$6/'Methane Leakage'!$G$5)*102*'Emissions Factors'!$F$10*'Calcs - Power'!$G164+'Emissions Factors'!$F$11*('Calcs - Power'!$H164+'Calcs - Power'!$I164+'Calcs - Power'!$J164+'Calcs - Power'!$K164))</f>
        <v>6678169.625700539</v>
      </c>
      <c r="AZ165" s="366">
        <f>(('Methane Leakage'!$G$6/'Methane Leakage'!$G$5)*102*'Emissions Factors'!$F$10*'Calcs - Power'!$B164+'Emissions Factors'!$F$11*('Calcs - Power'!$C164+'Calcs - Power'!$D164+'Calcs - Power'!$E164+'Calcs - Power'!$F164))</f>
        <v>619166524.18617535</v>
      </c>
      <c r="BA165" s="359">
        <f>(102*'Emissions Factors'!$G$10*'Calcs - Power'!$G164+'Emissions Factors'!$G$11*('Calcs - Power'!H164+'Calcs - Power'!I164+'Calcs - Power'!J164+'Calcs - Power'!K164))</f>
        <v>6719790.5057858126</v>
      </c>
      <c r="BB165" s="366">
        <f>(102*'Emissions Factors'!$G$10*'Calcs - Power'!$B164+'Emissions Factors'!$G$11*('Calcs - Power'!C164+'Calcs - Power'!D164+'Calcs - Power'!E164+'Calcs - Power'!F164))</f>
        <v>589206380.25788343</v>
      </c>
      <c r="BC165" s="359">
        <f>(102*'Emissions Factors'!$F$10*'Calcs - Power'!$G164+'Emissions Factors'!$F$11*('Calcs - Power'!$H164+'Calcs - Power'!$I164+'Calcs - Power'!$J164+'Calcs - Power'!$K164))</f>
        <v>6678169.625700539</v>
      </c>
      <c r="BD165" s="366">
        <f>(102*'Emissions Factors'!$F$10*'Calcs - Power'!$B164+'Emissions Factors'!$F$11*('Calcs - Power'!$C164+'Calcs - Power'!$D164+'Calcs - Power'!$E164+'Calcs - Power'!$F164))</f>
        <v>619166524.18617535</v>
      </c>
      <c r="BE165" s="359">
        <f>(102*'Emissions Factors'!$G$10*'Calcs - Power'!$G164+'Emissions Factors'!$G$11*('Calcs - Power'!H164+'Calcs - Power'!I164+'Calcs - Power'!J164+'Calcs - Power'!K164))</f>
        <v>6719790.5057858126</v>
      </c>
      <c r="BF165" s="366">
        <f>(102*'Emissions Factors'!$G$10*'Calcs - Power'!$B164+'Emissions Factors'!$G$11*('Calcs - Power'!C164+'Calcs - Power'!D164+'Calcs - Power'!E164+'Calcs - Power'!F164))</f>
        <v>589206380.25788343</v>
      </c>
    </row>
    <row r="166" spans="1:58" x14ac:dyDescent="0.3">
      <c r="A166" s="351">
        <f t="shared" si="30"/>
        <v>154</v>
      </c>
      <c r="B166" s="352">
        <f t="shared" si="24"/>
        <v>0.99999999999999978</v>
      </c>
      <c r="C166" s="363">
        <f t="shared" si="25"/>
        <v>0.99999999999999989</v>
      </c>
      <c r="D166" s="352">
        <f t="shared" si="26"/>
        <v>1</v>
      </c>
      <c r="E166" s="364">
        <f t="shared" si="27"/>
        <v>1</v>
      </c>
      <c r="F166" s="364">
        <f t="shared" si="28"/>
        <v>1</v>
      </c>
      <c r="G166" s="365">
        <f t="shared" si="29"/>
        <v>1</v>
      </c>
      <c r="P166" s="358">
        <f t="shared" si="31"/>
        <v>154</v>
      </c>
      <c r="Q166" s="359">
        <f>(('Methane Leakage'!$C$6/'Methane Leakage'!$C$5)*102*'Emissions Factors'!$C$38*'Calcs - Power'!$G165+'Emissions Factors'!$C$37*('Calcs - Power'!$H165+'Calcs - Power'!$I165+'Calcs - Power'!$J165+'Calcs - Power'!$K165))</f>
        <v>35576.342278063647</v>
      </c>
      <c r="R166" s="366">
        <f>(('Methane Leakage'!$C$6/'Methane Leakage'!$C$5)*102*'Emissions Factors'!$C$38*'Calcs - Power'!$B165+'Emissions Factors'!$C$37*('Calcs - Power'!$C165+'Calcs - Power'!$D165+'Calcs - Power'!$E165+'Calcs - Power'!$F165))</f>
        <v>3324119.7815761031</v>
      </c>
      <c r="S166" s="359">
        <f>(('Methane Leakage'!$C$6/'Methane Leakage'!$C$5)*102*'Emissions Factors'!$D$38*'Calcs - Power'!$G165+'Emissions Factors'!$D$37*('Calcs - Power'!$H165+'Calcs - Power'!$I165+'Calcs - Power'!$J165+'Calcs - Power'!$K165))</f>
        <v>35576.342278063647</v>
      </c>
      <c r="T166" s="366">
        <f>(('Methane Leakage'!$C$6/'Methane Leakage'!$C$5)*102*'Emissions Factors'!$D$38*'Calcs - Power'!$B165+'Emissions Factors'!$D$37*('Calcs - Power'!$C165+'Calcs - Power'!$D165+'Calcs - Power'!$E165+'Calcs - Power'!$F165))</f>
        <v>3324119.7815761031</v>
      </c>
      <c r="U166" s="361">
        <f>(102*'Emissions Factors'!$C$36*'Calcs - Power'!$G165+'Emissions Factors'!$C$35*('Calcs - Power'!$H165+'Calcs - Power'!$I165+'Calcs - Power'!$J165+'Calcs - Power'!$K165))</f>
        <v>65678.790364358603</v>
      </c>
      <c r="V166" s="366">
        <f>(102*'Emissions Factors'!$C$36*'Calcs - Power'!$B165+'Emissions Factors'!$C$35*('Calcs - Power'!$C165+'Calcs - Power'!$D165+'Calcs - Power'!$E165+'Calcs - Power'!$F165))</f>
        <v>5783822.2147456966</v>
      </c>
      <c r="W166" s="359">
        <f>(102*'Emissions Factors'!$D$36*'Calcs - Power'!$G165+'Emissions Factors'!$D$35*('Calcs - Power'!$H165+'Calcs - Power'!$I165+'Calcs - Power'!$J165+'Calcs - Power'!$K165))</f>
        <v>65678.790364358603</v>
      </c>
      <c r="X166" s="366">
        <f>(102*'Emissions Factors'!$D$36*'Calcs - Power'!$B165+'Emissions Factors'!$D$35*('Calcs - Power'!$C165+'Calcs - Power'!$D165+'Calcs - Power'!$E165+'Calcs - Power'!$F165))</f>
        <v>5783822.2147456966</v>
      </c>
      <c r="Y166" s="359">
        <f>(102*'Emissions Factors'!$C$38*'Calcs - Power'!$G165+'Emissions Factors'!$C$37*('Calcs - Power'!$H165+'Calcs - Power'!$I165+'Calcs - Power'!$J165+'Calcs - Power'!$K165))</f>
        <v>35576.342278063647</v>
      </c>
      <c r="Z166" s="366">
        <f>(102*'Emissions Factors'!$C$38*'Calcs - Power'!$B165+'Emissions Factors'!$C$37*('Calcs - Power'!$C165+'Calcs - Power'!$D165+'Calcs - Power'!$E165+'Calcs - Power'!$F165))</f>
        <v>3324119.7815761031</v>
      </c>
      <c r="AA166" s="359">
        <f>(102*'Emissions Factors'!$C$36*'Calcs - Power'!$G165+'Emissions Factors'!$C$35*('Calcs - Power'!$H165+'Calcs - Power'!$I165+'Calcs - Power'!$J165+'Calcs - Power'!$K165))</f>
        <v>65678.790364358603</v>
      </c>
      <c r="AB166" s="366">
        <f>(102*'Emissions Factors'!$C$36*'Calcs - Power'!$B165+'Emissions Factors'!$C$35*('Calcs - Power'!$C165+'Calcs - Power'!$D165+'Calcs - Power'!$E165+'Calcs - Power'!$F165))</f>
        <v>5783822.2147456966</v>
      </c>
      <c r="AI166" s="358">
        <f t="shared" si="32"/>
        <v>154</v>
      </c>
      <c r="AJ166" s="359">
        <f>(('Methane Leakage'!$G$6/'Methane Leakage'!$G$5)*102*'Emissions Factors'!$D$10*'Calcs - Power'!$G165+'Emissions Factors'!$D$11*('Calcs - Power'!$H165+'Calcs - Power'!$I165+'Calcs - Power'!$J165+'Calcs - Power'!$K165))</f>
        <v>4865.7682401971942</v>
      </c>
      <c r="AK166" s="366">
        <f>(('Methane Leakage'!$G$6/'Methane Leakage'!$G$5)*102*'Emissions Factors'!$D$10*'Calcs - Power'!$B165+'Emissions Factors'!$D$11*('Calcs - Power'!$C165+'Calcs - Power'!$D165+'Calcs - Power'!$E165+'Calcs - Power'!$F165))</f>
        <v>464348.18427057657</v>
      </c>
      <c r="AL166" s="359">
        <f>(102*'Emissions Factors'!$E$10*'Calcs - Power'!$G165+'Emissions Factors'!$E$11*('Calcs - Power'!H165+'Calcs - Power'!I165+'Calcs - Power'!J165+'Calcs - Power'!K165))</f>
        <v>5844.106127095788</v>
      </c>
      <c r="AM166" s="366">
        <f>(102*'Emissions Factors'!$E$10*'Calcs - Power'!$B165+'Emissions Factors'!$E$11*('Calcs - Power'!C165+'Calcs - Power'!D165+'Calcs - Power'!E165+'Calcs - Power'!F165))</f>
        <v>517074.19020802627</v>
      </c>
      <c r="AN166" s="359">
        <f>(102*'Emissions Factors'!$D$10*'Calcs - Power'!$G165+'Emissions Factors'!$D$11*('Calcs - Power'!$H165+'Calcs - Power'!$I165+'Calcs - Power'!$J165+'Calcs - Power'!$K165))</f>
        <v>4865.7682401971942</v>
      </c>
      <c r="AO166" s="366">
        <f>(102*'Emissions Factors'!$D$10*'Calcs - Power'!$B165+'Emissions Factors'!$D$11*('Calcs - Power'!$C165+'Calcs - Power'!$D165+'Calcs - Power'!$E165+'Calcs - Power'!$F165))</f>
        <v>464348.18427057657</v>
      </c>
      <c r="AP166" s="367">
        <f>(102*'Emissions Factors'!$E$10*'Calcs - Power'!$G165+'Emissions Factors'!$E$11*('Calcs - Power'!H165+'Calcs - Power'!I165+'Calcs - Power'!J165+'Calcs - Power'!K165))</f>
        <v>5844.106127095788</v>
      </c>
      <c r="AQ166" s="366">
        <f>(102*'Emissions Factors'!$E$10*'Calcs - Power'!$B165+'Emissions Factors'!$E$11*('Calcs - Power'!C165+'Calcs - Power'!D165+'Calcs - Power'!E165+'Calcs - Power'!F165))</f>
        <v>517074.19020802627</v>
      </c>
      <c r="AS166" s="357"/>
      <c r="AT166" s="357"/>
      <c r="AU166" s="357"/>
      <c r="AV166" s="357"/>
      <c r="AX166" s="358">
        <f t="shared" si="33"/>
        <v>154</v>
      </c>
      <c r="AY166" s="359">
        <f>(('Methane Leakage'!$G$6/'Methane Leakage'!$G$5)*102*'Emissions Factors'!$F$10*'Calcs - Power'!$G165+'Emissions Factors'!$F$11*('Calcs - Power'!$H165+'Calcs - Power'!$I165+'Calcs - Power'!$J165+'Calcs - Power'!$K165))</f>
        <v>6707300.9286664613</v>
      </c>
      <c r="AZ166" s="366">
        <f>(('Methane Leakage'!$G$6/'Methane Leakage'!$G$5)*102*'Emissions Factors'!$F$10*'Calcs - Power'!$B165+'Emissions Factors'!$F$11*('Calcs - Power'!$C165+'Calcs - Power'!$D165+'Calcs - Power'!$E165+'Calcs - Power'!$F165))</f>
        <v>625859264.12265921</v>
      </c>
      <c r="BA166" s="359">
        <f>(102*'Emissions Factors'!$G$10*'Calcs - Power'!$G165+'Emissions Factors'!$G$11*('Calcs - Power'!H165+'Calcs - Power'!I165+'Calcs - Power'!J165+'Calcs - Power'!K165))</f>
        <v>6752158.4576598611</v>
      </c>
      <c r="BB166" s="366">
        <f>(102*'Emissions Factors'!$G$10*'Calcs - Power'!$B165+'Emissions Factors'!$G$11*('Calcs - Power'!C165+'Calcs - Power'!D165+'Calcs - Power'!E165+'Calcs - Power'!F165))</f>
        <v>595942359.91547811</v>
      </c>
      <c r="BC166" s="359">
        <f>(102*'Emissions Factors'!$F$10*'Calcs - Power'!$G165+'Emissions Factors'!$F$11*('Calcs - Power'!$H165+'Calcs - Power'!$I165+'Calcs - Power'!$J165+'Calcs - Power'!$K165))</f>
        <v>6707300.9286664613</v>
      </c>
      <c r="BD166" s="366">
        <f>(102*'Emissions Factors'!$F$10*'Calcs - Power'!$B165+'Emissions Factors'!$F$11*('Calcs - Power'!$C165+'Calcs - Power'!$D165+'Calcs - Power'!$E165+'Calcs - Power'!$F165))</f>
        <v>625859264.12265921</v>
      </c>
      <c r="BE166" s="359">
        <f>(102*'Emissions Factors'!$G$10*'Calcs - Power'!$G165+'Emissions Factors'!$G$11*('Calcs - Power'!H165+'Calcs - Power'!I165+'Calcs - Power'!J165+'Calcs - Power'!K165))</f>
        <v>6752158.4576598611</v>
      </c>
      <c r="BF166" s="366">
        <f>(102*'Emissions Factors'!$G$10*'Calcs - Power'!$B165+'Emissions Factors'!$G$11*('Calcs - Power'!C165+'Calcs - Power'!D165+'Calcs - Power'!E165+'Calcs - Power'!F165))</f>
        <v>595942359.91547811</v>
      </c>
    </row>
    <row r="167" spans="1:58" x14ac:dyDescent="0.3">
      <c r="A167" s="351">
        <f t="shared" si="30"/>
        <v>155</v>
      </c>
      <c r="B167" s="352">
        <f t="shared" si="24"/>
        <v>0.99999999999999978</v>
      </c>
      <c r="C167" s="363">
        <f t="shared" si="25"/>
        <v>0.99999999999999989</v>
      </c>
      <c r="D167" s="352">
        <f t="shared" si="26"/>
        <v>1</v>
      </c>
      <c r="E167" s="364">
        <f t="shared" si="27"/>
        <v>1</v>
      </c>
      <c r="F167" s="364">
        <f t="shared" si="28"/>
        <v>1</v>
      </c>
      <c r="G167" s="365">
        <f t="shared" si="29"/>
        <v>1</v>
      </c>
      <c r="P167" s="358">
        <f t="shared" si="31"/>
        <v>155</v>
      </c>
      <c r="Q167" s="359">
        <f>(('Methane Leakage'!$C$6/'Methane Leakage'!$C$5)*102*'Emissions Factors'!$C$38*'Calcs - Power'!$G166+'Emissions Factors'!$C$37*('Calcs - Power'!$H166+'Calcs - Power'!$I166+'Calcs - Power'!$J166+'Calcs - Power'!$K166))</f>
        <v>35730.163248605066</v>
      </c>
      <c r="R167" s="366">
        <f>(('Methane Leakage'!$C$6/'Methane Leakage'!$C$5)*102*'Emissions Factors'!$C$38*'Calcs - Power'!$B166+'Emissions Factors'!$C$37*('Calcs - Power'!$C166+'Calcs - Power'!$D166+'Calcs - Power'!$E166+'Calcs - Power'!$F166))</f>
        <v>3359773.0588379567</v>
      </c>
      <c r="S167" s="359">
        <f>(('Methane Leakage'!$C$6/'Methane Leakage'!$C$5)*102*'Emissions Factors'!$D$38*'Calcs - Power'!$G166+'Emissions Factors'!$D$37*('Calcs - Power'!$H166+'Calcs - Power'!$I166+'Calcs - Power'!$J166+'Calcs - Power'!$K166))</f>
        <v>35730.163248605066</v>
      </c>
      <c r="T167" s="366">
        <f>(('Methane Leakage'!$C$6/'Methane Leakage'!$C$5)*102*'Emissions Factors'!$D$38*'Calcs - Power'!$B166+'Emissions Factors'!$D$37*('Calcs - Power'!$C166+'Calcs - Power'!$D166+'Calcs - Power'!$E166+'Calcs - Power'!$F166))</f>
        <v>3359773.0588379567</v>
      </c>
      <c r="U167" s="361">
        <f>(102*'Emissions Factors'!$C$36*'Calcs - Power'!$G166+'Emissions Factors'!$C$35*('Calcs - Power'!$H166+'Calcs - Power'!$I166+'Calcs - Power'!$J166+'Calcs - Power'!$K166))</f>
        <v>65994.187270725975</v>
      </c>
      <c r="V167" s="366">
        <f>(102*'Emissions Factors'!$C$36*'Calcs - Power'!$B166+'Emissions Factors'!$C$35*('Calcs - Power'!$C166+'Calcs - Power'!$D166+'Calcs - Power'!$E166+'Calcs - Power'!$F166))</f>
        <v>5849658.7537848568</v>
      </c>
      <c r="W167" s="359">
        <f>(102*'Emissions Factors'!$D$36*'Calcs - Power'!$G166+'Emissions Factors'!$D$35*('Calcs - Power'!$H166+'Calcs - Power'!$I166+'Calcs - Power'!$J166+'Calcs - Power'!$K166))</f>
        <v>65994.187270725975</v>
      </c>
      <c r="X167" s="366">
        <f>(102*'Emissions Factors'!$D$36*'Calcs - Power'!$B166+'Emissions Factors'!$D$35*('Calcs - Power'!$C166+'Calcs - Power'!$D166+'Calcs - Power'!$E166+'Calcs - Power'!$F166))</f>
        <v>5849658.7537848568</v>
      </c>
      <c r="Y167" s="359">
        <f>(102*'Emissions Factors'!$C$38*'Calcs - Power'!$G166+'Emissions Factors'!$C$37*('Calcs - Power'!$H166+'Calcs - Power'!$I166+'Calcs - Power'!$J166+'Calcs - Power'!$K166))</f>
        <v>35730.163248605066</v>
      </c>
      <c r="Z167" s="366">
        <f>(102*'Emissions Factors'!$C$38*'Calcs - Power'!$B166+'Emissions Factors'!$C$37*('Calcs - Power'!$C166+'Calcs - Power'!$D166+'Calcs - Power'!$E166+'Calcs - Power'!$F166))</f>
        <v>3359773.0588379567</v>
      </c>
      <c r="AA167" s="359">
        <f>(102*'Emissions Factors'!$C$36*'Calcs - Power'!$G166+'Emissions Factors'!$C$35*('Calcs - Power'!$H166+'Calcs - Power'!$I166+'Calcs - Power'!$J166+'Calcs - Power'!$K166))</f>
        <v>65994.187270725975</v>
      </c>
      <c r="AB167" s="366">
        <f>(102*'Emissions Factors'!$C$36*'Calcs - Power'!$B166+'Emissions Factors'!$C$35*('Calcs - Power'!$C166+'Calcs - Power'!$D166+'Calcs - Power'!$E166+'Calcs - Power'!$F166))</f>
        <v>5849658.7537848568</v>
      </c>
      <c r="AI167" s="358">
        <f t="shared" si="32"/>
        <v>155</v>
      </c>
      <c r="AJ167" s="359">
        <f>(('Methane Leakage'!$G$6/'Methane Leakage'!$G$5)*102*'Emissions Factors'!$D$10*'Calcs - Power'!$G166+'Emissions Factors'!$D$11*('Calcs - Power'!$H166+'Calcs - Power'!$I166+'Calcs - Power'!$J166+'Calcs - Power'!$K166))</f>
        <v>4885.9419389811737</v>
      </c>
      <c r="AK167" s="366">
        <f>(('Methane Leakage'!$G$6/'Methane Leakage'!$G$5)*102*'Emissions Factors'!$D$10*'Calcs - Power'!$B166+'Emissions Factors'!$D$11*('Calcs - Power'!$C166+'Calcs - Power'!$D166+'Calcs - Power'!$E166+'Calcs - Power'!$F166))</f>
        <v>469224.04257344862</v>
      </c>
      <c r="AL167" s="359">
        <f>(102*'Emissions Factors'!$E$10*'Calcs - Power'!$G166+'Emissions Factors'!$E$11*('Calcs - Power'!H166+'Calcs - Power'!I166+'Calcs - Power'!J166+'Calcs - Power'!K166))</f>
        <v>5871.9539313360938</v>
      </c>
      <c r="AM167" s="366">
        <f>(102*'Emissions Factors'!$E$10*'Calcs - Power'!$B166+'Emissions Factors'!$E$11*('Calcs - Power'!C166+'Calcs - Power'!D166+'Calcs - Power'!E166+'Calcs - Power'!F166))</f>
        <v>522932.22467159881</v>
      </c>
      <c r="AN167" s="359">
        <f>(102*'Emissions Factors'!$D$10*'Calcs - Power'!$G166+'Emissions Factors'!$D$11*('Calcs - Power'!$H166+'Calcs - Power'!$I166+'Calcs - Power'!$J166+'Calcs - Power'!$K166))</f>
        <v>4885.9419389811737</v>
      </c>
      <c r="AO167" s="366">
        <f>(102*'Emissions Factors'!$D$10*'Calcs - Power'!$B166+'Emissions Factors'!$D$11*('Calcs - Power'!$C166+'Calcs - Power'!$D166+'Calcs - Power'!$E166+'Calcs - Power'!$F166))</f>
        <v>469224.04257344862</v>
      </c>
      <c r="AP167" s="367">
        <f>(102*'Emissions Factors'!$E$10*'Calcs - Power'!$G166+'Emissions Factors'!$E$11*('Calcs - Power'!H166+'Calcs - Power'!I166+'Calcs - Power'!J166+'Calcs - Power'!K166))</f>
        <v>5871.9539313360938</v>
      </c>
      <c r="AQ167" s="366">
        <f>(102*'Emissions Factors'!$E$10*'Calcs - Power'!$B166+'Emissions Factors'!$E$11*('Calcs - Power'!C166+'Calcs - Power'!D166+'Calcs - Power'!E166+'Calcs - Power'!F166))</f>
        <v>522932.22467159881</v>
      </c>
      <c r="AS167" s="357"/>
      <c r="AT167" s="357"/>
      <c r="AU167" s="357"/>
      <c r="AV167" s="357"/>
      <c r="AX167" s="358">
        <f t="shared" si="33"/>
        <v>155</v>
      </c>
      <c r="AY167" s="359">
        <f>(('Methane Leakage'!$G$6/'Methane Leakage'!$G$5)*102*'Emissions Factors'!$F$10*'Calcs - Power'!$G166+'Emissions Factors'!$F$11*('Calcs - Power'!$H166+'Calcs - Power'!$I166+'Calcs - Power'!$J166+'Calcs - Power'!$K166))</f>
        <v>6736376.49161823</v>
      </c>
      <c r="AZ167" s="366">
        <f>(('Methane Leakage'!$G$6/'Methane Leakage'!$G$5)*102*'Emissions Factors'!$F$10*'Calcs - Power'!$B166+'Emissions Factors'!$F$11*('Calcs - Power'!$C166+'Calcs - Power'!$D166+'Calcs - Power'!$E166+'Calcs - Power'!$F166))</f>
        <v>632581107.46353793</v>
      </c>
      <c r="BA167" s="359">
        <f>(102*'Emissions Factors'!$G$10*'Calcs - Power'!$G166+'Emissions Factors'!$G$11*('Calcs - Power'!H166+'Calcs - Power'!I166+'Calcs - Power'!J166+'Calcs - Power'!K166))</f>
        <v>6784464.4891802343</v>
      </c>
      <c r="BB167" s="366">
        <f>(102*'Emissions Factors'!$G$10*'Calcs - Power'!$B166+'Emissions Factors'!$G$11*('Calcs - Power'!C166+'Calcs - Power'!D166+'Calcs - Power'!E166+'Calcs - Power'!F166))</f>
        <v>602710676.53312254</v>
      </c>
      <c r="BC167" s="359">
        <f>(102*'Emissions Factors'!$F$10*'Calcs - Power'!$G166+'Emissions Factors'!$F$11*('Calcs - Power'!$H166+'Calcs - Power'!$I166+'Calcs - Power'!$J166+'Calcs - Power'!$K166))</f>
        <v>6736376.49161823</v>
      </c>
      <c r="BD167" s="366">
        <f>(102*'Emissions Factors'!$F$10*'Calcs - Power'!$B166+'Emissions Factors'!$F$11*('Calcs - Power'!$C166+'Calcs - Power'!$D166+'Calcs - Power'!$E166+'Calcs - Power'!$F166))</f>
        <v>632581107.46353793</v>
      </c>
      <c r="BE167" s="359">
        <f>(102*'Emissions Factors'!$G$10*'Calcs - Power'!$G166+'Emissions Factors'!$G$11*('Calcs - Power'!H166+'Calcs - Power'!I166+'Calcs - Power'!J166+'Calcs - Power'!K166))</f>
        <v>6784464.4891802343</v>
      </c>
      <c r="BF167" s="366">
        <f>(102*'Emissions Factors'!$G$10*'Calcs - Power'!$B166+'Emissions Factors'!$G$11*('Calcs - Power'!C166+'Calcs - Power'!D166+'Calcs - Power'!E166+'Calcs - Power'!F166))</f>
        <v>602710676.53312254</v>
      </c>
    </row>
    <row r="168" spans="1:58" x14ac:dyDescent="0.3">
      <c r="A168" s="351">
        <f t="shared" si="30"/>
        <v>156</v>
      </c>
      <c r="B168" s="352">
        <f t="shared" si="24"/>
        <v>1</v>
      </c>
      <c r="C168" s="363">
        <f t="shared" si="25"/>
        <v>1</v>
      </c>
      <c r="D168" s="352">
        <f t="shared" si="26"/>
        <v>1</v>
      </c>
      <c r="E168" s="364">
        <f t="shared" si="27"/>
        <v>1</v>
      </c>
      <c r="F168" s="364">
        <f t="shared" si="28"/>
        <v>1</v>
      </c>
      <c r="G168" s="365">
        <f t="shared" si="29"/>
        <v>1</v>
      </c>
      <c r="P168" s="358">
        <f t="shared" si="31"/>
        <v>156</v>
      </c>
      <c r="Q168" s="359">
        <f>(('Methane Leakage'!$C$6/'Methane Leakage'!$C$5)*102*'Emissions Factors'!$C$38*'Calcs - Power'!$G167+'Emissions Factors'!$C$37*('Calcs - Power'!$H167+'Calcs - Power'!$I167+'Calcs - Power'!$J167+'Calcs - Power'!$K167))</f>
        <v>35883.691136595982</v>
      </c>
      <c r="R168" s="366">
        <f>(('Methane Leakage'!$C$6/'Methane Leakage'!$C$5)*102*'Emissions Factors'!$C$38*'Calcs - Power'!$B167+'Emissions Factors'!$C$37*('Calcs - Power'!$C167+'Calcs - Power'!$D167+'Calcs - Power'!$E167+'Calcs - Power'!$F167))</f>
        <v>3395580.0103793074</v>
      </c>
      <c r="S168" s="359">
        <f>(('Methane Leakage'!$C$6/'Methane Leakage'!$C$5)*102*'Emissions Factors'!$D$38*'Calcs - Power'!$G167+'Emissions Factors'!$D$37*('Calcs - Power'!$H167+'Calcs - Power'!$I167+'Calcs - Power'!$J167+'Calcs - Power'!$K167))</f>
        <v>35883.691136595982</v>
      </c>
      <c r="T168" s="366">
        <f>(('Methane Leakage'!$C$6/'Methane Leakage'!$C$5)*102*'Emissions Factors'!$D$38*'Calcs - Power'!$B167+'Emissions Factors'!$D$37*('Calcs - Power'!$C167+'Calcs - Power'!$D167+'Calcs - Power'!$E167+'Calcs - Power'!$F167))</f>
        <v>3395580.0103793074</v>
      </c>
      <c r="U168" s="361">
        <f>(102*'Emissions Factors'!$C$36*'Calcs - Power'!$G167+'Emissions Factors'!$C$35*('Calcs - Power'!$H167+'Calcs - Power'!$I167+'Calcs - Power'!$J167+'Calcs - Power'!$K167))</f>
        <v>66308.983357192352</v>
      </c>
      <c r="V168" s="366">
        <f>(102*'Emissions Factors'!$C$36*'Calcs - Power'!$B167+'Emissions Factors'!$C$35*('Calcs - Power'!$C167+'Calcs - Power'!$D167+'Calcs - Power'!$E167+'Calcs - Power'!$F167))</f>
        <v>5915810.3890142031</v>
      </c>
      <c r="W168" s="359">
        <f>(102*'Emissions Factors'!$D$36*'Calcs - Power'!$G167+'Emissions Factors'!$D$35*('Calcs - Power'!$H167+'Calcs - Power'!$I167+'Calcs - Power'!$J167+'Calcs - Power'!$K167))</f>
        <v>66308.983357192352</v>
      </c>
      <c r="X168" s="366">
        <f>(102*'Emissions Factors'!$D$36*'Calcs - Power'!$B167+'Emissions Factors'!$D$35*('Calcs - Power'!$C167+'Calcs - Power'!$D167+'Calcs - Power'!$E167+'Calcs - Power'!$F167))</f>
        <v>5915810.3890142031</v>
      </c>
      <c r="Y168" s="359">
        <f>(102*'Emissions Factors'!$C$38*'Calcs - Power'!$G167+'Emissions Factors'!$C$37*('Calcs - Power'!$H167+'Calcs - Power'!$I167+'Calcs - Power'!$J167+'Calcs - Power'!$K167))</f>
        <v>35883.691136595982</v>
      </c>
      <c r="Z168" s="366">
        <f>(102*'Emissions Factors'!$C$38*'Calcs - Power'!$B167+'Emissions Factors'!$C$37*('Calcs - Power'!$C167+'Calcs - Power'!$D167+'Calcs - Power'!$E167+'Calcs - Power'!$F167))</f>
        <v>3395580.0103793074</v>
      </c>
      <c r="AA168" s="359">
        <f>(102*'Emissions Factors'!$C$36*'Calcs - Power'!$G167+'Emissions Factors'!$C$35*('Calcs - Power'!$H167+'Calcs - Power'!$I167+'Calcs - Power'!$J167+'Calcs - Power'!$K167))</f>
        <v>66308.983357192352</v>
      </c>
      <c r="AB168" s="366">
        <f>(102*'Emissions Factors'!$C$36*'Calcs - Power'!$B167+'Emissions Factors'!$C$35*('Calcs - Power'!$C167+'Calcs - Power'!$D167+'Calcs - Power'!$E167+'Calcs - Power'!$F167))</f>
        <v>5915810.3890142031</v>
      </c>
      <c r="AI168" s="358">
        <f t="shared" si="32"/>
        <v>156</v>
      </c>
      <c r="AJ168" s="359">
        <f>(('Methane Leakage'!$G$6/'Methane Leakage'!$G$5)*102*'Emissions Factors'!$D$10*'Calcs - Power'!$G167+'Emissions Factors'!$D$11*('Calcs - Power'!$H167+'Calcs - Power'!$I167+'Calcs - Power'!$J167+'Calcs - Power'!$K167))</f>
        <v>4906.0771965075828</v>
      </c>
      <c r="AK168" s="366">
        <f>(('Methane Leakage'!$G$6/'Methane Leakage'!$G$5)*102*'Emissions Factors'!$D$10*'Calcs - Power'!$B167+'Emissions Factors'!$D$11*('Calcs - Power'!$C167+'Calcs - Power'!$D167+'Calcs - Power'!$E167+'Calcs - Power'!$F167))</f>
        <v>474120.05533480993</v>
      </c>
      <c r="AL168" s="359">
        <f>(102*'Emissions Factors'!$E$10*'Calcs - Power'!$G167+'Emissions Factors'!$E$11*('Calcs - Power'!H167+'Calcs - Power'!I167+'Calcs - Power'!J167+'Calcs - Power'!K167))</f>
        <v>5899.7486857482718</v>
      </c>
      <c r="AM168" s="366">
        <f>(102*'Emissions Factors'!$E$10*'Calcs - Power'!$B167+'Emissions Factors'!$E$11*('Calcs - Power'!C167+'Calcs - Power'!D167+'Calcs - Power'!E167+'Calcs - Power'!F167))</f>
        <v>528818.08038745378</v>
      </c>
      <c r="AN168" s="359">
        <f>(102*'Emissions Factors'!$D$10*'Calcs - Power'!$G167+'Emissions Factors'!$D$11*('Calcs - Power'!$H167+'Calcs - Power'!$I167+'Calcs - Power'!$J167+'Calcs - Power'!$K167))</f>
        <v>4906.0771965075828</v>
      </c>
      <c r="AO168" s="366">
        <f>(102*'Emissions Factors'!$D$10*'Calcs - Power'!$B167+'Emissions Factors'!$D$11*('Calcs - Power'!$C167+'Calcs - Power'!$D167+'Calcs - Power'!$E167+'Calcs - Power'!$F167))</f>
        <v>474120.05533480993</v>
      </c>
      <c r="AP168" s="367">
        <f>(102*'Emissions Factors'!$E$10*'Calcs - Power'!$G167+'Emissions Factors'!$E$11*('Calcs - Power'!H167+'Calcs - Power'!I167+'Calcs - Power'!J167+'Calcs - Power'!K167))</f>
        <v>5899.7486857482718</v>
      </c>
      <c r="AQ168" s="366">
        <f>(102*'Emissions Factors'!$E$10*'Calcs - Power'!$B167+'Emissions Factors'!$E$11*('Calcs - Power'!C167+'Calcs - Power'!D167+'Calcs - Power'!E167+'Calcs - Power'!F167))</f>
        <v>528818.08038745378</v>
      </c>
      <c r="AS168" s="357"/>
      <c r="AT168" s="357"/>
      <c r="AU168" s="357"/>
      <c r="AV168" s="357"/>
      <c r="AX168" s="358">
        <f t="shared" si="33"/>
        <v>156</v>
      </c>
      <c r="AY168" s="359">
        <f>(('Methane Leakage'!$G$6/'Methane Leakage'!$G$5)*102*'Emissions Factors'!$F$10*'Calcs - Power'!$G167+'Emissions Factors'!$F$11*('Calcs - Power'!$H167+'Calcs - Power'!$I167+'Calcs - Power'!$J167+'Calcs - Power'!$K167))</f>
        <v>6765396.6557808844</v>
      </c>
      <c r="AZ168" s="366">
        <f>(('Methane Leakage'!$G$6/'Methane Leakage'!$G$5)*102*'Emissions Factors'!$F$10*'Calcs - Power'!$B167+'Emissions Factors'!$F$11*('Calcs - Power'!$C167+'Calcs - Power'!$D167+'Calcs - Power'!$E167+'Calcs - Power'!$F167))</f>
        <v>639331998.63966632</v>
      </c>
      <c r="BA168" s="359">
        <f>(102*'Emissions Factors'!$G$10*'Calcs - Power'!$G167+'Emissions Factors'!$G$11*('Calcs - Power'!H167+'Calcs - Power'!I167+'Calcs - Power'!J167+'Calcs - Power'!K167))</f>
        <v>6816708.9784468096</v>
      </c>
      <c r="BB168" s="366">
        <f>(102*'Emissions Factors'!$G$10*'Calcs - Power'!$B167+'Emissions Factors'!$G$11*('Calcs - Power'!C167+'Calcs - Power'!D167+'Calcs - Power'!E167+'Calcs - Power'!F167))</f>
        <v>609511268.37979031</v>
      </c>
      <c r="BC168" s="359">
        <f>(102*'Emissions Factors'!$F$10*'Calcs - Power'!$G167+'Emissions Factors'!$F$11*('Calcs - Power'!$H167+'Calcs - Power'!$I167+'Calcs - Power'!$J167+'Calcs - Power'!$K167))</f>
        <v>6765396.6557808844</v>
      </c>
      <c r="BD168" s="366">
        <f>(102*'Emissions Factors'!$F$10*'Calcs - Power'!$B167+'Emissions Factors'!$F$11*('Calcs - Power'!$C167+'Calcs - Power'!$D167+'Calcs - Power'!$E167+'Calcs - Power'!$F167))</f>
        <v>639331998.63966632</v>
      </c>
      <c r="BE168" s="359">
        <f>(102*'Emissions Factors'!$G$10*'Calcs - Power'!$G167+'Emissions Factors'!$G$11*('Calcs - Power'!H167+'Calcs - Power'!I167+'Calcs - Power'!J167+'Calcs - Power'!K167))</f>
        <v>6816708.9784468096</v>
      </c>
      <c r="BF168" s="366">
        <f>(102*'Emissions Factors'!$G$10*'Calcs - Power'!$B167+'Emissions Factors'!$G$11*('Calcs - Power'!C167+'Calcs - Power'!D167+'Calcs - Power'!E167+'Calcs - Power'!F167))</f>
        <v>609511268.37979031</v>
      </c>
    </row>
    <row r="169" spans="1:58" x14ac:dyDescent="0.3">
      <c r="A169" s="351">
        <f t="shared" si="30"/>
        <v>157</v>
      </c>
      <c r="B169" s="352">
        <f t="shared" si="24"/>
        <v>0.99999999999999978</v>
      </c>
      <c r="C169" s="363">
        <f t="shared" si="25"/>
        <v>0.99999999999999989</v>
      </c>
      <c r="D169" s="352">
        <f t="shared" si="26"/>
        <v>1</v>
      </c>
      <c r="E169" s="364">
        <f t="shared" si="27"/>
        <v>1</v>
      </c>
      <c r="F169" s="364">
        <f t="shared" si="28"/>
        <v>1</v>
      </c>
      <c r="G169" s="365">
        <f t="shared" si="29"/>
        <v>1</v>
      </c>
      <c r="P169" s="358">
        <f t="shared" si="31"/>
        <v>157</v>
      </c>
      <c r="Q169" s="359">
        <f>(('Methane Leakage'!$C$6/'Methane Leakage'!$C$5)*102*'Emissions Factors'!$C$38*'Calcs - Power'!$G168+'Emissions Factors'!$C$37*('Calcs - Power'!$H168+'Calcs - Power'!$I168+'Calcs - Power'!$J168+'Calcs - Power'!$K168))</f>
        <v>36036.927731314769</v>
      </c>
      <c r="R169" s="366">
        <f>(('Methane Leakage'!$C$6/'Methane Leakage'!$C$5)*102*'Emissions Factors'!$C$38*'Calcs - Power'!$B168+'Emissions Factors'!$C$37*('Calcs - Power'!$C168+'Calcs - Power'!$D168+'Calcs - Power'!$E168+'Calcs - Power'!$F168))</f>
        <v>3431540.3440135652</v>
      </c>
      <c r="S169" s="359">
        <f>(('Methane Leakage'!$C$6/'Methane Leakage'!$C$5)*102*'Emissions Factors'!$D$38*'Calcs - Power'!$G168+'Emissions Factors'!$D$37*('Calcs - Power'!$H168+'Calcs - Power'!$I168+'Calcs - Power'!$J168+'Calcs - Power'!$K168))</f>
        <v>36036.927731314769</v>
      </c>
      <c r="T169" s="366">
        <f>(('Methane Leakage'!$C$6/'Methane Leakage'!$C$5)*102*'Emissions Factors'!$D$38*'Calcs - Power'!$B168+'Emissions Factors'!$D$37*('Calcs - Power'!$C168+'Calcs - Power'!$D168+'Calcs - Power'!$E168+'Calcs - Power'!$F168))</f>
        <v>3431540.3440135652</v>
      </c>
      <c r="U169" s="361">
        <f>(102*'Emissions Factors'!$C$36*'Calcs - Power'!$G168+'Emissions Factors'!$C$35*('Calcs - Power'!$H168+'Calcs - Power'!$I168+'Calcs - Power'!$J168+'Calcs - Power'!$K168))</f>
        <v>66623.182282620051</v>
      </c>
      <c r="V169" s="366">
        <f>(102*'Emissions Factors'!$C$36*'Calcs - Power'!$B168+'Emissions Factors'!$C$35*('Calcs - Power'!$C168+'Calcs - Power'!$D168+'Calcs - Power'!$E168+'Calcs - Power'!$F168))</f>
        <v>5982276.5214459086</v>
      </c>
      <c r="W169" s="359">
        <f>(102*'Emissions Factors'!$D$36*'Calcs - Power'!$G168+'Emissions Factors'!$D$35*('Calcs - Power'!$H168+'Calcs - Power'!$I168+'Calcs - Power'!$J168+'Calcs - Power'!$K168))</f>
        <v>66623.182282620051</v>
      </c>
      <c r="X169" s="366">
        <f>(102*'Emissions Factors'!$D$36*'Calcs - Power'!$B168+'Emissions Factors'!$D$35*('Calcs - Power'!$C168+'Calcs - Power'!$D168+'Calcs - Power'!$E168+'Calcs - Power'!$F168))</f>
        <v>5982276.5214459086</v>
      </c>
      <c r="Y169" s="359">
        <f>(102*'Emissions Factors'!$C$38*'Calcs - Power'!$G168+'Emissions Factors'!$C$37*('Calcs - Power'!$H168+'Calcs - Power'!$I168+'Calcs - Power'!$J168+'Calcs - Power'!$K168))</f>
        <v>36036.927731314769</v>
      </c>
      <c r="Z169" s="366">
        <f>(102*'Emissions Factors'!$C$38*'Calcs - Power'!$B168+'Emissions Factors'!$C$37*('Calcs - Power'!$C168+'Calcs - Power'!$D168+'Calcs - Power'!$E168+'Calcs - Power'!$F168))</f>
        <v>3431540.3440135652</v>
      </c>
      <c r="AA169" s="359">
        <f>(102*'Emissions Factors'!$C$36*'Calcs - Power'!$G168+'Emissions Factors'!$C$35*('Calcs - Power'!$H168+'Calcs - Power'!$I168+'Calcs - Power'!$J168+'Calcs - Power'!$K168))</f>
        <v>66623.182282620051</v>
      </c>
      <c r="AB169" s="366">
        <f>(102*'Emissions Factors'!$C$36*'Calcs - Power'!$B168+'Emissions Factors'!$C$35*('Calcs - Power'!$C168+'Calcs - Power'!$D168+'Calcs - Power'!$E168+'Calcs - Power'!$F168))</f>
        <v>5982276.5214459086</v>
      </c>
      <c r="AI169" s="358">
        <f t="shared" si="32"/>
        <v>157</v>
      </c>
      <c r="AJ169" s="359">
        <f>(('Methane Leakage'!$G$6/'Methane Leakage'!$G$5)*102*'Emissions Factors'!$D$10*'Calcs - Power'!$G168+'Emissions Factors'!$D$11*('Calcs - Power'!$H168+'Calcs - Power'!$I168+'Calcs - Power'!$J168+'Calcs - Power'!$K168))</f>
        <v>4926.1742477135749</v>
      </c>
      <c r="AK169" s="366">
        <f>(('Methane Leakage'!$G$6/'Methane Leakage'!$G$5)*102*'Emissions Factors'!$D$10*'Calcs - Power'!$B168+'Emissions Factors'!$D$11*('Calcs - Power'!$C168+'Calcs - Power'!$D168+'Calcs - Power'!$E168+'Calcs - Power'!$F168))</f>
        <v>479036.1842310467</v>
      </c>
      <c r="AL169" s="359">
        <f>(102*'Emissions Factors'!$E$10*'Calcs - Power'!$G168+'Emissions Factors'!$E$11*('Calcs - Power'!H168+'Calcs - Power'!I168+'Calcs - Power'!J168+'Calcs - Power'!K168))</f>
        <v>5927.4907134510049</v>
      </c>
      <c r="AM169" s="366">
        <f>(102*'Emissions Factors'!$E$10*'Calcs - Power'!$B168+'Emissions Factors'!$E$11*('Calcs - Power'!C168+'Calcs - Power'!D168+'Calcs - Power'!E168+'Calcs - Power'!F168))</f>
        <v>534731.70446755632</v>
      </c>
      <c r="AN169" s="359">
        <f>(102*'Emissions Factors'!$D$10*'Calcs - Power'!$G168+'Emissions Factors'!$D$11*('Calcs - Power'!$H168+'Calcs - Power'!$I168+'Calcs - Power'!$J168+'Calcs - Power'!$K168))</f>
        <v>4926.1742477135749</v>
      </c>
      <c r="AO169" s="366">
        <f>(102*'Emissions Factors'!$D$10*'Calcs - Power'!$B168+'Emissions Factors'!$D$11*('Calcs - Power'!$C168+'Calcs - Power'!$D168+'Calcs - Power'!$E168+'Calcs - Power'!$F168))</f>
        <v>479036.1842310467</v>
      </c>
      <c r="AP169" s="367">
        <f>(102*'Emissions Factors'!$E$10*'Calcs - Power'!$G168+'Emissions Factors'!$E$11*('Calcs - Power'!H168+'Calcs - Power'!I168+'Calcs - Power'!J168+'Calcs - Power'!K168))</f>
        <v>5927.4907134510049</v>
      </c>
      <c r="AQ169" s="366">
        <f>(102*'Emissions Factors'!$E$10*'Calcs - Power'!$B168+'Emissions Factors'!$E$11*('Calcs - Power'!C168+'Calcs - Power'!D168+'Calcs - Power'!E168+'Calcs - Power'!F168))</f>
        <v>534731.70446755632</v>
      </c>
      <c r="AS169" s="357"/>
      <c r="AT169" s="357"/>
      <c r="AU169" s="357"/>
      <c r="AV169" s="357"/>
      <c r="AX169" s="358">
        <f t="shared" si="33"/>
        <v>157</v>
      </c>
      <c r="AY169" s="359">
        <f>(('Methane Leakage'!$G$6/'Methane Leakage'!$G$5)*102*'Emissions Factors'!$F$10*'Calcs - Power'!$G168+'Emissions Factors'!$F$11*('Calcs - Power'!$H168+'Calcs - Power'!$I168+'Calcs - Power'!$J168+'Calcs - Power'!$K168))</f>
        <v>6794361.7593438551</v>
      </c>
      <c r="AZ169" s="366">
        <f>(('Methane Leakage'!$G$6/'Methane Leakage'!$G$5)*102*'Emissions Factors'!$F$10*'Calcs - Power'!$B168+'Emissions Factors'!$F$11*('Calcs - Power'!$C168+'Calcs - Power'!$D168+'Calcs - Power'!$E168+'Calcs - Power'!$F168))</f>
        <v>646111882.42159939</v>
      </c>
      <c r="BA169" s="359">
        <f>(102*'Emissions Factors'!$G$10*'Calcs - Power'!$G168+'Emissions Factors'!$G$11*('Calcs - Power'!H168+'Calcs - Power'!I168+'Calcs - Power'!J168+'Calcs - Power'!K168))</f>
        <v>6848892.3002696484</v>
      </c>
      <c r="BB169" s="366">
        <f>(102*'Emissions Factors'!$G$10*'Calcs - Power'!$B168+'Emissions Factors'!$G$11*('Calcs - Power'!C168+'Calcs - Power'!D168+'Calcs - Power'!E168+'Calcs - Power'!F168))</f>
        <v>616344074.10090387</v>
      </c>
      <c r="BC169" s="359">
        <f>(102*'Emissions Factors'!$F$10*'Calcs - Power'!$G168+'Emissions Factors'!$F$11*('Calcs - Power'!$H168+'Calcs - Power'!$I168+'Calcs - Power'!$J168+'Calcs - Power'!$K168))</f>
        <v>6794361.7593438551</v>
      </c>
      <c r="BD169" s="366">
        <f>(102*'Emissions Factors'!$F$10*'Calcs - Power'!$B168+'Emissions Factors'!$F$11*('Calcs - Power'!$C168+'Calcs - Power'!$D168+'Calcs - Power'!$E168+'Calcs - Power'!$F168))</f>
        <v>646111882.42159939</v>
      </c>
      <c r="BE169" s="359">
        <f>(102*'Emissions Factors'!$G$10*'Calcs - Power'!$G168+'Emissions Factors'!$G$11*('Calcs - Power'!H168+'Calcs - Power'!I168+'Calcs - Power'!J168+'Calcs - Power'!K168))</f>
        <v>6848892.3002696484</v>
      </c>
      <c r="BF169" s="366">
        <f>(102*'Emissions Factors'!$G$10*'Calcs - Power'!$B168+'Emissions Factors'!$G$11*('Calcs - Power'!C168+'Calcs - Power'!D168+'Calcs - Power'!E168+'Calcs - Power'!F168))</f>
        <v>616344074.10090387</v>
      </c>
    </row>
    <row r="170" spans="1:58" x14ac:dyDescent="0.3">
      <c r="A170" s="351">
        <f t="shared" si="30"/>
        <v>158</v>
      </c>
      <c r="B170" s="352">
        <f t="shared" si="24"/>
        <v>0.99999999999999978</v>
      </c>
      <c r="C170" s="363">
        <f t="shared" si="25"/>
        <v>1</v>
      </c>
      <c r="D170" s="352">
        <f t="shared" si="26"/>
        <v>1</v>
      </c>
      <c r="E170" s="364">
        <f t="shared" si="27"/>
        <v>1</v>
      </c>
      <c r="F170" s="364">
        <f t="shared" si="28"/>
        <v>1</v>
      </c>
      <c r="G170" s="365">
        <f t="shared" si="29"/>
        <v>1</v>
      </c>
      <c r="P170" s="358">
        <f t="shared" si="31"/>
        <v>158</v>
      </c>
      <c r="Q170" s="359">
        <f>(('Methane Leakage'!$C$6/'Methane Leakage'!$C$5)*102*'Emissions Factors'!$C$38*'Calcs - Power'!$G169+'Emissions Factors'!$C$37*('Calcs - Power'!$H169+'Calcs - Power'!$I169+'Calcs - Power'!$J169+'Calcs - Power'!$K169))</f>
        <v>36189.874806371736</v>
      </c>
      <c r="R170" s="366">
        <f>(('Methane Leakage'!$C$6/'Methane Leakage'!$C$5)*102*'Emissions Factors'!$C$38*'Calcs - Power'!$B169+'Emissions Factors'!$C$37*('Calcs - Power'!$C169+'Calcs - Power'!$D169+'Calcs - Power'!$E169+'Calcs - Power'!$F169))</f>
        <v>3467653.769335554</v>
      </c>
      <c r="S170" s="359">
        <f>(('Methane Leakage'!$C$6/'Methane Leakage'!$C$5)*102*'Emissions Factors'!$D$38*'Calcs - Power'!$G169+'Emissions Factors'!$D$37*('Calcs - Power'!$H169+'Calcs - Power'!$I169+'Calcs - Power'!$J169+'Calcs - Power'!$K169))</f>
        <v>36189.874806371736</v>
      </c>
      <c r="T170" s="366">
        <f>(('Methane Leakage'!$C$6/'Methane Leakage'!$C$5)*102*'Emissions Factors'!$D$38*'Calcs - Power'!$B169+'Emissions Factors'!$D$37*('Calcs - Power'!$C169+'Calcs - Power'!$D169+'Calcs - Power'!$E169+'Calcs - Power'!$F169))</f>
        <v>3467653.769335554</v>
      </c>
      <c r="U170" s="361">
        <f>(102*'Emissions Factors'!$C$36*'Calcs - Power'!$G169+'Emissions Factors'!$C$35*('Calcs - Power'!$H169+'Calcs - Power'!$I169+'Calcs - Power'!$J169+'Calcs - Power'!$K169))</f>
        <v>66936.78767453834</v>
      </c>
      <c r="V170" s="366">
        <f>(102*'Emissions Factors'!$C$36*'Calcs - Power'!$B169+'Emissions Factors'!$C$35*('Calcs - Power'!$C169+'Calcs - Power'!$D169+'Calcs - Power'!$E169+'Calcs - Power'!$F169))</f>
        <v>6049056.5557352826</v>
      </c>
      <c r="W170" s="359">
        <f>(102*'Emissions Factors'!$D$36*'Calcs - Power'!$G169+'Emissions Factors'!$D$35*('Calcs - Power'!$H169+'Calcs - Power'!$I169+'Calcs - Power'!$J169+'Calcs - Power'!$K169))</f>
        <v>66936.78767453834</v>
      </c>
      <c r="X170" s="366">
        <f>(102*'Emissions Factors'!$D$36*'Calcs - Power'!$B169+'Emissions Factors'!$D$35*('Calcs - Power'!$C169+'Calcs - Power'!$D169+'Calcs - Power'!$E169+'Calcs - Power'!$F169))</f>
        <v>6049056.5557352826</v>
      </c>
      <c r="Y170" s="359">
        <f>(102*'Emissions Factors'!$C$38*'Calcs - Power'!$G169+'Emissions Factors'!$C$37*('Calcs - Power'!$H169+'Calcs - Power'!$I169+'Calcs - Power'!$J169+'Calcs - Power'!$K169))</f>
        <v>36189.874806371736</v>
      </c>
      <c r="Z170" s="366">
        <f>(102*'Emissions Factors'!$C$38*'Calcs - Power'!$B169+'Emissions Factors'!$C$37*('Calcs - Power'!$C169+'Calcs - Power'!$D169+'Calcs - Power'!$E169+'Calcs - Power'!$F169))</f>
        <v>3467653.769335554</v>
      </c>
      <c r="AA170" s="359">
        <f>(102*'Emissions Factors'!$C$36*'Calcs - Power'!$G169+'Emissions Factors'!$C$35*('Calcs - Power'!$H169+'Calcs - Power'!$I169+'Calcs - Power'!$J169+'Calcs - Power'!$K169))</f>
        <v>66936.78767453834</v>
      </c>
      <c r="AB170" s="366">
        <f>(102*'Emissions Factors'!$C$36*'Calcs - Power'!$B169+'Emissions Factors'!$C$35*('Calcs - Power'!$C169+'Calcs - Power'!$D169+'Calcs - Power'!$E169+'Calcs - Power'!$F169))</f>
        <v>6049056.5557352826</v>
      </c>
      <c r="AI170" s="358">
        <f t="shared" si="32"/>
        <v>158</v>
      </c>
      <c r="AJ170" s="359">
        <f>(('Methane Leakage'!$G$6/'Methane Leakage'!$G$5)*102*'Emissions Factors'!$D$10*'Calcs - Power'!$G169+'Emissions Factors'!$D$11*('Calcs - Power'!$H169+'Calcs - Power'!$I169+'Calcs - Power'!$J169+'Calcs - Power'!$K169))</f>
        <v>4946.2333254596124</v>
      </c>
      <c r="AK170" s="366">
        <f>(('Methane Leakage'!$G$6/'Methane Leakage'!$G$5)*102*'Emissions Factors'!$D$10*'Calcs - Power'!$B169+'Emissions Factors'!$D$11*('Calcs - Power'!$C169+'Calcs - Power'!$D169+'Calcs - Power'!$E169+'Calcs - Power'!$F169))</f>
        <v>483972.39117243973</v>
      </c>
      <c r="AL170" s="359">
        <f>(102*'Emissions Factors'!$E$10*'Calcs - Power'!$G169+'Emissions Factors'!$E$11*('Calcs - Power'!H169+'Calcs - Power'!I169+'Calcs - Power'!J169+'Calcs - Power'!K169))</f>
        <v>5955.1803347915256</v>
      </c>
      <c r="AM170" s="366">
        <f>(102*'Emissions Factors'!$E$10*'Calcs - Power'!$B169+'Emissions Factors'!$E$11*('Calcs - Power'!C169+'Calcs - Power'!D169+'Calcs - Power'!E169+'Calcs - Power'!F169))</f>
        <v>540673.04434559867</v>
      </c>
      <c r="AN170" s="359">
        <f>(102*'Emissions Factors'!$D$10*'Calcs - Power'!$G169+'Emissions Factors'!$D$11*('Calcs - Power'!$H169+'Calcs - Power'!$I169+'Calcs - Power'!$J169+'Calcs - Power'!$K169))</f>
        <v>4946.2333254596124</v>
      </c>
      <c r="AO170" s="366">
        <f>(102*'Emissions Factors'!$D$10*'Calcs - Power'!$B169+'Emissions Factors'!$D$11*('Calcs - Power'!$C169+'Calcs - Power'!$D169+'Calcs - Power'!$E169+'Calcs - Power'!$F169))</f>
        <v>483972.39117243973</v>
      </c>
      <c r="AP170" s="367">
        <f>(102*'Emissions Factors'!$E$10*'Calcs - Power'!$G169+'Emissions Factors'!$E$11*('Calcs - Power'!H169+'Calcs - Power'!I169+'Calcs - Power'!J169+'Calcs - Power'!K169))</f>
        <v>5955.1803347915256</v>
      </c>
      <c r="AQ170" s="366">
        <f>(102*'Emissions Factors'!$E$10*'Calcs - Power'!$B169+'Emissions Factors'!$E$11*('Calcs - Power'!C169+'Calcs - Power'!D169+'Calcs - Power'!E169+'Calcs - Power'!F169))</f>
        <v>540673.04434559867</v>
      </c>
      <c r="AS170" s="357"/>
      <c r="AT170" s="357"/>
      <c r="AU170" s="357"/>
      <c r="AV170" s="357"/>
      <c r="AX170" s="358">
        <f t="shared" si="33"/>
        <v>158</v>
      </c>
      <c r="AY170" s="359">
        <f>(('Methane Leakage'!$G$6/'Methane Leakage'!$G$5)*102*'Emissions Factors'!$F$10*'Calcs - Power'!$G169+'Emissions Factors'!$F$11*('Calcs - Power'!$H169+'Calcs - Power'!$I169+'Calcs - Power'!$J169+'Calcs - Power'!$K169))</f>
        <v>6823272.1375368629</v>
      </c>
      <c r="AZ170" s="366">
        <f>(('Methane Leakage'!$G$6/'Methane Leakage'!$G$5)*102*'Emissions Factors'!$F$10*'Calcs - Power'!$B169+'Emissions Factors'!$F$11*('Calcs - Power'!$C169+'Calcs - Power'!$D169+'Calcs - Power'!$E169+'Calcs - Power'!$F169))</f>
        <v>652920703.91659617</v>
      </c>
      <c r="BA170" s="359">
        <f>(102*'Emissions Factors'!$G$10*'Calcs - Power'!$G169+'Emissions Factors'!$G$11*('Calcs - Power'!H169+'Calcs - Power'!I169+'Calcs - Power'!J169+'Calcs - Power'!K169))</f>
        <v>6881014.826246677</v>
      </c>
      <c r="BB170" s="366">
        <f>(102*'Emissions Factors'!$G$10*'Calcs - Power'!$B169+'Emissions Factors'!$G$11*('Calcs - Power'!C169+'Calcs - Power'!D169+'Calcs - Power'!E169+'Calcs - Power'!F169))</f>
        <v>623209032.71508276</v>
      </c>
      <c r="BC170" s="359">
        <f>(102*'Emissions Factors'!$F$10*'Calcs - Power'!$G169+'Emissions Factors'!$F$11*('Calcs - Power'!$H169+'Calcs - Power'!$I169+'Calcs - Power'!$J169+'Calcs - Power'!$K169))</f>
        <v>6823272.1375368629</v>
      </c>
      <c r="BD170" s="366">
        <f>(102*'Emissions Factors'!$F$10*'Calcs - Power'!$B169+'Emissions Factors'!$F$11*('Calcs - Power'!$C169+'Calcs - Power'!$D169+'Calcs - Power'!$E169+'Calcs - Power'!$F169))</f>
        <v>652920703.91659617</v>
      </c>
      <c r="BE170" s="359">
        <f>(102*'Emissions Factors'!$G$10*'Calcs - Power'!$G169+'Emissions Factors'!$G$11*('Calcs - Power'!H169+'Calcs - Power'!I169+'Calcs - Power'!J169+'Calcs - Power'!K169))</f>
        <v>6881014.826246677</v>
      </c>
      <c r="BF170" s="366">
        <f>(102*'Emissions Factors'!$G$10*'Calcs - Power'!$B169+'Emissions Factors'!$G$11*('Calcs - Power'!C169+'Calcs - Power'!D169+'Calcs - Power'!E169+'Calcs - Power'!F169))</f>
        <v>623209032.71508276</v>
      </c>
    </row>
    <row r="171" spans="1:58" x14ac:dyDescent="0.3">
      <c r="A171" s="351">
        <f t="shared" si="30"/>
        <v>159</v>
      </c>
      <c r="B171" s="352">
        <f t="shared" si="24"/>
        <v>1</v>
      </c>
      <c r="C171" s="363">
        <f t="shared" si="25"/>
        <v>0.99999999999999989</v>
      </c>
      <c r="D171" s="352">
        <f t="shared" si="26"/>
        <v>1</v>
      </c>
      <c r="E171" s="364">
        <f t="shared" si="27"/>
        <v>1</v>
      </c>
      <c r="F171" s="364">
        <f t="shared" si="28"/>
        <v>1</v>
      </c>
      <c r="G171" s="365">
        <f t="shared" si="29"/>
        <v>1</v>
      </c>
      <c r="P171" s="358">
        <f t="shared" si="31"/>
        <v>159</v>
      </c>
      <c r="Q171" s="359">
        <f>(('Methane Leakage'!$C$6/'Methane Leakage'!$C$5)*102*'Emissions Factors'!$C$38*'Calcs - Power'!$G170+'Emissions Factors'!$C$37*('Calcs - Power'!$H170+'Calcs - Power'!$I170+'Calcs - Power'!$J170+'Calcs - Power'!$K170))</f>
        <v>36342.534120091914</v>
      </c>
      <c r="R171" s="366">
        <f>(('Methane Leakage'!$C$6/'Methane Leakage'!$C$5)*102*'Emissions Factors'!$C$38*'Calcs - Power'!$B170+'Emissions Factors'!$C$37*('Calcs - Power'!$C170+'Calcs - Power'!$D170+'Calcs - Power'!$E170+'Calcs - Power'!$F170))</f>
        <v>3503919.9977060296</v>
      </c>
      <c r="S171" s="359">
        <f>(('Methane Leakage'!$C$6/'Methane Leakage'!$C$5)*102*'Emissions Factors'!$D$38*'Calcs - Power'!$G170+'Emissions Factors'!$D$37*('Calcs - Power'!$H170+'Calcs - Power'!$I170+'Calcs - Power'!$J170+'Calcs - Power'!$K170))</f>
        <v>36342.534120091914</v>
      </c>
      <c r="T171" s="366">
        <f>(('Methane Leakage'!$C$6/'Methane Leakage'!$C$5)*102*'Emissions Factors'!$D$38*'Calcs - Power'!$B170+'Emissions Factors'!$D$37*('Calcs - Power'!$C170+'Calcs - Power'!$D170+'Calcs - Power'!$E170+'Calcs - Power'!$F170))</f>
        <v>3503919.9977060296</v>
      </c>
      <c r="U171" s="361">
        <f>(102*'Emissions Factors'!$C$36*'Calcs - Power'!$G170+'Emissions Factors'!$C$35*('Calcs - Power'!$H170+'Calcs - Power'!$I170+'Calcs - Power'!$J170+'Calcs - Power'!$K170))</f>
        <v>67249.803129864827</v>
      </c>
      <c r="V171" s="366">
        <f>(102*'Emissions Factors'!$C$36*'Calcs - Power'!$B170+'Emissions Factors'!$C$35*('Calcs - Power'!$C170+'Calcs - Power'!$D170+'Calcs - Power'!$E170+'Calcs - Power'!$F170))</f>
        <v>6116149.9001497887</v>
      </c>
      <c r="W171" s="359">
        <f>(102*'Emissions Factors'!$D$36*'Calcs - Power'!$G170+'Emissions Factors'!$D$35*('Calcs - Power'!$H170+'Calcs - Power'!$I170+'Calcs - Power'!$J170+'Calcs - Power'!$K170))</f>
        <v>67249.803129864827</v>
      </c>
      <c r="X171" s="366">
        <f>(102*'Emissions Factors'!$D$36*'Calcs - Power'!$B170+'Emissions Factors'!$D$35*('Calcs - Power'!$C170+'Calcs - Power'!$D170+'Calcs - Power'!$E170+'Calcs - Power'!$F170))</f>
        <v>6116149.9001497887</v>
      </c>
      <c r="Y171" s="359">
        <f>(102*'Emissions Factors'!$C$38*'Calcs - Power'!$G170+'Emissions Factors'!$C$37*('Calcs - Power'!$H170+'Calcs - Power'!$I170+'Calcs - Power'!$J170+'Calcs - Power'!$K170))</f>
        <v>36342.534120091914</v>
      </c>
      <c r="Z171" s="366">
        <f>(102*'Emissions Factors'!$C$38*'Calcs - Power'!$B170+'Emissions Factors'!$C$37*('Calcs - Power'!$C170+'Calcs - Power'!$D170+'Calcs - Power'!$E170+'Calcs - Power'!$F170))</f>
        <v>3503919.9977060296</v>
      </c>
      <c r="AA171" s="359">
        <f>(102*'Emissions Factors'!$C$36*'Calcs - Power'!$G170+'Emissions Factors'!$C$35*('Calcs - Power'!$H170+'Calcs - Power'!$I170+'Calcs - Power'!$J170+'Calcs - Power'!$K170))</f>
        <v>67249.803129864827</v>
      </c>
      <c r="AB171" s="366">
        <f>(102*'Emissions Factors'!$C$36*'Calcs - Power'!$B170+'Emissions Factors'!$C$35*('Calcs - Power'!$C170+'Calcs - Power'!$D170+'Calcs - Power'!$E170+'Calcs - Power'!$F170))</f>
        <v>6116149.9001497887</v>
      </c>
      <c r="AI171" s="358">
        <f t="shared" si="32"/>
        <v>159</v>
      </c>
      <c r="AJ171" s="359">
        <f>(('Methane Leakage'!$G$6/'Methane Leakage'!$G$5)*102*'Emissions Factors'!$D$10*'Calcs - Power'!$G170+'Emissions Factors'!$D$11*('Calcs - Power'!$H170+'Calcs - Power'!$I170+'Calcs - Power'!$J170+'Calcs - Power'!$K170))</f>
        <v>4966.254660581415</v>
      </c>
      <c r="AK171" s="366">
        <f>(('Methane Leakage'!$G$6/'Methane Leakage'!$G$5)*102*'Emissions Factors'!$D$10*'Calcs - Power'!$B170+'Emissions Factors'!$D$11*('Calcs - Power'!$C170+'Calcs - Power'!$D170+'Calcs - Power'!$E170+'Calcs - Power'!$F170))</f>
        <v>488928.63830111321</v>
      </c>
      <c r="AL171" s="359">
        <f>(102*'Emissions Factors'!$E$10*'Calcs - Power'!$G170+'Emissions Factors'!$E$11*('Calcs - Power'!H170+'Calcs - Power'!I170+'Calcs - Power'!J170+'Calcs - Power'!K170))</f>
        <v>5982.8178674097071</v>
      </c>
      <c r="AM171" s="366">
        <f>(102*'Emissions Factors'!$E$10*'Calcs - Power'!$B170+'Emissions Factors'!$E$11*('Calcs - Power'!C170+'Calcs - Power'!D170+'Calcs - Power'!E170+'Calcs - Power'!F170))</f>
        <v>546642.04777426133</v>
      </c>
      <c r="AN171" s="359">
        <f>(102*'Emissions Factors'!$D$10*'Calcs - Power'!$G170+'Emissions Factors'!$D$11*('Calcs - Power'!$H170+'Calcs - Power'!$I170+'Calcs - Power'!$J170+'Calcs - Power'!$K170))</f>
        <v>4966.254660581415</v>
      </c>
      <c r="AO171" s="366">
        <f>(102*'Emissions Factors'!$D$10*'Calcs - Power'!$B170+'Emissions Factors'!$D$11*('Calcs - Power'!$C170+'Calcs - Power'!$D170+'Calcs - Power'!$E170+'Calcs - Power'!$F170))</f>
        <v>488928.63830111321</v>
      </c>
      <c r="AP171" s="367">
        <f>(102*'Emissions Factors'!$E$10*'Calcs - Power'!$G170+'Emissions Factors'!$E$11*('Calcs - Power'!H170+'Calcs - Power'!I170+'Calcs - Power'!J170+'Calcs - Power'!K170))</f>
        <v>5982.8178674097071</v>
      </c>
      <c r="AQ171" s="366">
        <f>(102*'Emissions Factors'!$E$10*'Calcs - Power'!$B170+'Emissions Factors'!$E$11*('Calcs - Power'!C170+'Calcs - Power'!D170+'Calcs - Power'!E170+'Calcs - Power'!F170))</f>
        <v>546642.04777426133</v>
      </c>
      <c r="AS171" s="357"/>
      <c r="AT171" s="357"/>
      <c r="AU171" s="357"/>
      <c r="AV171" s="357"/>
      <c r="AX171" s="358">
        <f t="shared" si="33"/>
        <v>159</v>
      </c>
      <c r="AY171" s="359">
        <f>(('Methane Leakage'!$G$6/'Methane Leakage'!$G$5)*102*'Emissions Factors'!$F$10*'Calcs - Power'!$G170+'Emissions Factors'!$F$11*('Calcs - Power'!$H170+'Calcs - Power'!$I170+'Calcs - Power'!$J170+'Calcs - Power'!$K170))</f>
        <v>6852128.1227021217</v>
      </c>
      <c r="AZ171" s="366">
        <f>(('Methane Leakage'!$G$6/'Methane Leakage'!$G$5)*102*'Emissions Factors'!$F$10*'Calcs - Power'!$B170+'Emissions Factors'!$F$11*('Calcs - Power'!$C170+'Calcs - Power'!$D170+'Calcs - Power'!$E170+'Calcs - Power'!$F170))</f>
        <v>659758408.56569529</v>
      </c>
      <c r="BA171" s="359">
        <f>(102*'Emissions Factors'!$G$10*'Calcs - Power'!$G170+'Emissions Factors'!$G$11*('Calcs - Power'!H170+'Calcs - Power'!I170+'Calcs - Power'!J170+'Calcs - Power'!K170))</f>
        <v>6913076.9248378035</v>
      </c>
      <c r="BB171" s="366">
        <f>(102*'Emissions Factors'!$G$10*'Calcs - Power'!$B170+'Emissions Factors'!$G$11*('Calcs - Power'!C170+'Calcs - Power'!D170+'Calcs - Power'!E170+'Calcs - Power'!F170))</f>
        <v>630106083.61096942</v>
      </c>
      <c r="BC171" s="359">
        <f>(102*'Emissions Factors'!$F$10*'Calcs - Power'!$G170+'Emissions Factors'!$F$11*('Calcs - Power'!$H170+'Calcs - Power'!$I170+'Calcs - Power'!$J170+'Calcs - Power'!$K170))</f>
        <v>6852128.1227021217</v>
      </c>
      <c r="BD171" s="366">
        <f>(102*'Emissions Factors'!$F$10*'Calcs - Power'!$B170+'Emissions Factors'!$F$11*('Calcs - Power'!$C170+'Calcs - Power'!$D170+'Calcs - Power'!$E170+'Calcs - Power'!$F170))</f>
        <v>659758408.56569529</v>
      </c>
      <c r="BE171" s="359">
        <f>(102*'Emissions Factors'!$G$10*'Calcs - Power'!$G170+'Emissions Factors'!$G$11*('Calcs - Power'!H170+'Calcs - Power'!I170+'Calcs - Power'!J170+'Calcs - Power'!K170))</f>
        <v>6913076.9248378035</v>
      </c>
      <c r="BF171" s="366">
        <f>(102*'Emissions Factors'!$G$10*'Calcs - Power'!$B170+'Emissions Factors'!$G$11*('Calcs - Power'!C170+'Calcs - Power'!D170+'Calcs - Power'!E170+'Calcs - Power'!F170))</f>
        <v>630106083.61096942</v>
      </c>
    </row>
    <row r="172" spans="1:58" x14ac:dyDescent="0.3">
      <c r="A172" s="351">
        <f t="shared" si="30"/>
        <v>160</v>
      </c>
      <c r="B172" s="352">
        <f t="shared" si="24"/>
        <v>1</v>
      </c>
      <c r="C172" s="363">
        <f t="shared" si="25"/>
        <v>0.99999999999999978</v>
      </c>
      <c r="D172" s="352">
        <f t="shared" si="26"/>
        <v>1</v>
      </c>
      <c r="E172" s="364">
        <f t="shared" si="27"/>
        <v>1</v>
      </c>
      <c r="F172" s="364">
        <f t="shared" si="28"/>
        <v>1</v>
      </c>
      <c r="G172" s="365">
        <f t="shared" si="29"/>
        <v>1</v>
      </c>
      <c r="P172" s="358">
        <f t="shared" si="31"/>
        <v>160</v>
      </c>
      <c r="Q172" s="359">
        <f>(('Methane Leakage'!$C$6/'Methane Leakage'!$C$5)*102*'Emissions Factors'!$C$38*'Calcs - Power'!$G171+'Emissions Factors'!$C$37*('Calcs - Power'!$H171+'Calcs - Power'!$I171+'Calcs - Power'!$J171+'Calcs - Power'!$K171))</f>
        <v>36494.907415879388</v>
      </c>
      <c r="R172" s="366">
        <f>(('Methane Leakage'!$C$6/'Methane Leakage'!$C$5)*102*'Emissions Factors'!$C$38*'Calcs - Power'!$B171+'Emissions Factors'!$C$37*('Calcs - Power'!$C171+'Calcs - Power'!$D171+'Calcs - Power'!$E171+'Calcs - Power'!$F171))</f>
        <v>3540338.7422365886</v>
      </c>
      <c r="S172" s="359">
        <f>(('Methane Leakage'!$C$6/'Methane Leakage'!$C$5)*102*'Emissions Factors'!$D$38*'Calcs - Power'!$G171+'Emissions Factors'!$D$37*('Calcs - Power'!$H171+'Calcs - Power'!$I171+'Calcs - Power'!$J171+'Calcs - Power'!$K171))</f>
        <v>36494.907415879388</v>
      </c>
      <c r="T172" s="366">
        <f>(('Methane Leakage'!$C$6/'Methane Leakage'!$C$5)*102*'Emissions Factors'!$D$38*'Calcs - Power'!$B171+'Emissions Factors'!$D$37*('Calcs - Power'!$C171+'Calcs - Power'!$D171+'Calcs - Power'!$E171+'Calcs - Power'!$F171))</f>
        <v>3540338.7422365886</v>
      </c>
      <c r="U172" s="361">
        <f>(102*'Emissions Factors'!$C$36*'Calcs - Power'!$G171+'Emissions Factors'!$C$35*('Calcs - Power'!$H171+'Calcs - Power'!$I171+'Calcs - Power'!$J171+'Calcs - Power'!$K171))</f>
        <v>67562.232215594282</v>
      </c>
      <c r="V172" s="366">
        <f>(102*'Emissions Factors'!$C$36*'Calcs - Power'!$B171+'Emissions Factors'!$C$35*('Calcs - Power'!$C171+'Calcs - Power'!$D171+'Calcs - Power'!$E171+'Calcs - Power'!$F171))</f>
        <v>6183555.9665388046</v>
      </c>
      <c r="W172" s="359">
        <f>(102*'Emissions Factors'!$D$36*'Calcs - Power'!$G171+'Emissions Factors'!$D$35*('Calcs - Power'!$H171+'Calcs - Power'!$I171+'Calcs - Power'!$J171+'Calcs - Power'!$K171))</f>
        <v>67562.232215594282</v>
      </c>
      <c r="X172" s="366">
        <f>(102*'Emissions Factors'!$D$36*'Calcs - Power'!$B171+'Emissions Factors'!$D$35*('Calcs - Power'!$C171+'Calcs - Power'!$D171+'Calcs - Power'!$E171+'Calcs - Power'!$F171))</f>
        <v>6183555.9665388046</v>
      </c>
      <c r="Y172" s="359">
        <f>(102*'Emissions Factors'!$C$38*'Calcs - Power'!$G171+'Emissions Factors'!$C$37*('Calcs - Power'!$H171+'Calcs - Power'!$I171+'Calcs - Power'!$J171+'Calcs - Power'!$K171))</f>
        <v>36494.907415879388</v>
      </c>
      <c r="Z172" s="366">
        <f>(102*'Emissions Factors'!$C$38*'Calcs - Power'!$B171+'Emissions Factors'!$C$37*('Calcs - Power'!$C171+'Calcs - Power'!$D171+'Calcs - Power'!$E171+'Calcs - Power'!$F171))</f>
        <v>3540338.7422365886</v>
      </c>
      <c r="AA172" s="359">
        <f>(102*'Emissions Factors'!$C$36*'Calcs - Power'!$G171+'Emissions Factors'!$C$35*('Calcs - Power'!$H171+'Calcs - Power'!$I171+'Calcs - Power'!$J171+'Calcs - Power'!$K171))</f>
        <v>67562.232215594282</v>
      </c>
      <c r="AB172" s="366">
        <f>(102*'Emissions Factors'!$C$36*'Calcs - Power'!$B171+'Emissions Factors'!$C$35*('Calcs - Power'!$C171+'Calcs - Power'!$D171+'Calcs - Power'!$E171+'Calcs - Power'!$F171))</f>
        <v>6183555.9665388046</v>
      </c>
      <c r="AI172" s="358">
        <f t="shared" si="32"/>
        <v>160</v>
      </c>
      <c r="AJ172" s="359">
        <f>(('Methane Leakage'!$G$6/'Methane Leakage'!$G$5)*102*'Emissions Factors'!$D$10*'Calcs - Power'!$G171+'Emissions Factors'!$D$11*('Calcs - Power'!$H171+'Calcs - Power'!$I171+'Calcs - Power'!$J171+'Calcs - Power'!$K171))</f>
        <v>4986.2384819393501</v>
      </c>
      <c r="AK172" s="366">
        <f>(('Methane Leakage'!$G$6/'Methane Leakage'!$G$5)*102*'Emissions Factors'!$D$10*'Calcs - Power'!$B171+'Emissions Factors'!$D$11*('Calcs - Power'!$C171+'Calcs - Power'!$D171+'Calcs - Power'!$E171+'Calcs - Power'!$F171))</f>
        <v>493904.88798903592</v>
      </c>
      <c r="AL172" s="359">
        <f>(102*'Emissions Factors'!$E$10*'Calcs - Power'!$G171+'Emissions Factors'!$E$11*('Calcs - Power'!H171+'Calcs - Power'!I171+'Calcs - Power'!J171+'Calcs - Power'!K171))</f>
        <v>6010.4036262992422</v>
      </c>
      <c r="AM172" s="366">
        <f>(102*'Emissions Factors'!$E$10*'Calcs - Power'!$B171+'Emissions Factors'!$E$11*('Calcs - Power'!C171+'Calcs - Power'!D171+'Calcs - Power'!E171+'Calcs - Power'!F171))</f>
        <v>552638.66282253724</v>
      </c>
      <c r="AN172" s="359">
        <f>(102*'Emissions Factors'!$D$10*'Calcs - Power'!$G171+'Emissions Factors'!$D$11*('Calcs - Power'!$H171+'Calcs - Power'!$I171+'Calcs - Power'!$J171+'Calcs - Power'!$K171))</f>
        <v>4986.2384819393501</v>
      </c>
      <c r="AO172" s="366">
        <f>(102*'Emissions Factors'!$D$10*'Calcs - Power'!$B171+'Emissions Factors'!$D$11*('Calcs - Power'!$C171+'Calcs - Power'!$D171+'Calcs - Power'!$E171+'Calcs - Power'!$F171))</f>
        <v>493904.88798903592</v>
      </c>
      <c r="AP172" s="367">
        <f>(102*'Emissions Factors'!$E$10*'Calcs - Power'!$G171+'Emissions Factors'!$E$11*('Calcs - Power'!H171+'Calcs - Power'!I171+'Calcs - Power'!J171+'Calcs - Power'!K171))</f>
        <v>6010.4036262992422</v>
      </c>
      <c r="AQ172" s="366">
        <f>(102*'Emissions Factors'!$E$10*'Calcs - Power'!$B171+'Emissions Factors'!$E$11*('Calcs - Power'!C171+'Calcs - Power'!D171+'Calcs - Power'!E171+'Calcs - Power'!F171))</f>
        <v>552638.66282253724</v>
      </c>
      <c r="AS172" s="357"/>
      <c r="AT172" s="357"/>
      <c r="AU172" s="357"/>
      <c r="AV172" s="357"/>
      <c r="AX172" s="358">
        <f t="shared" si="33"/>
        <v>160</v>
      </c>
      <c r="AY172" s="359">
        <f>(('Methane Leakage'!$G$6/'Methane Leakage'!$G$5)*102*'Emissions Factors'!$F$10*'Calcs - Power'!$G171+'Emissions Factors'!$F$11*('Calcs - Power'!$H171+'Calcs - Power'!$I171+'Calcs - Power'!$J171+'Calcs - Power'!$K171))</f>
        <v>6880930.044363061</v>
      </c>
      <c r="AZ172" s="366">
        <f>(('Methane Leakage'!$G$6/'Methane Leakage'!$G$5)*102*'Emissions Factors'!$F$10*'Calcs - Power'!$B171+'Emissions Factors'!$F$11*('Calcs - Power'!$C171+'Calcs - Power'!$D171+'Calcs - Power'!$E171+'Calcs - Power'!$F171))</f>
        <v>666624942.14086294</v>
      </c>
      <c r="BA172" s="359">
        <f>(102*'Emissions Factors'!$G$10*'Calcs - Power'!$G171+'Emissions Factors'!$G$11*('Calcs - Power'!H171+'Calcs - Power'!I171+'Calcs - Power'!J171+'Calcs - Power'!K171))</f>
        <v>6945078.9614356607</v>
      </c>
      <c r="BB172" s="366">
        <f>(102*'Emissions Factors'!$G$10*'Calcs - Power'!$B171+'Emissions Factors'!$G$11*('Calcs - Power'!C171+'Calcs - Power'!D171+'Calcs - Power'!E171+'Calcs - Power'!F171))</f>
        <v>637035166.54412723</v>
      </c>
      <c r="BC172" s="359">
        <f>(102*'Emissions Factors'!$F$10*'Calcs - Power'!$G171+'Emissions Factors'!$F$11*('Calcs - Power'!$H171+'Calcs - Power'!$I171+'Calcs - Power'!$J171+'Calcs - Power'!$K171))</f>
        <v>6880930.044363061</v>
      </c>
      <c r="BD172" s="366">
        <f>(102*'Emissions Factors'!$F$10*'Calcs - Power'!$B171+'Emissions Factors'!$F$11*('Calcs - Power'!$C171+'Calcs - Power'!$D171+'Calcs - Power'!$E171+'Calcs - Power'!$F171))</f>
        <v>666624942.14086294</v>
      </c>
      <c r="BE172" s="359">
        <f>(102*'Emissions Factors'!$G$10*'Calcs - Power'!$G171+'Emissions Factors'!$G$11*('Calcs - Power'!H171+'Calcs - Power'!I171+'Calcs - Power'!J171+'Calcs - Power'!K171))</f>
        <v>6945078.9614356607</v>
      </c>
      <c r="BF172" s="366">
        <f>(102*'Emissions Factors'!$G$10*'Calcs - Power'!$B171+'Emissions Factors'!$G$11*('Calcs - Power'!C171+'Calcs - Power'!D171+'Calcs - Power'!E171+'Calcs - Power'!F171))</f>
        <v>637035166.54412723</v>
      </c>
    </row>
    <row r="173" spans="1:58" x14ac:dyDescent="0.3">
      <c r="A173" s="351">
        <f t="shared" si="30"/>
        <v>161</v>
      </c>
      <c r="B173" s="352">
        <f t="shared" si="24"/>
        <v>1</v>
      </c>
      <c r="C173" s="363">
        <f t="shared" si="25"/>
        <v>1</v>
      </c>
      <c r="D173" s="352">
        <f t="shared" si="26"/>
        <v>1</v>
      </c>
      <c r="E173" s="364">
        <f t="shared" si="27"/>
        <v>1</v>
      </c>
      <c r="F173" s="364">
        <f t="shared" si="28"/>
        <v>1</v>
      </c>
      <c r="G173" s="365">
        <f t="shared" si="29"/>
        <v>1</v>
      </c>
      <c r="P173" s="358">
        <f t="shared" si="31"/>
        <v>161</v>
      </c>
      <c r="Q173" s="359">
        <f>(('Methane Leakage'!$C$6/'Methane Leakage'!$C$5)*102*'Emissions Factors'!$C$38*'Calcs - Power'!$G172+'Emissions Factors'!$C$37*('Calcs - Power'!$H172+'Calcs - Power'!$I172+'Calcs - Power'!$J172+'Calcs - Power'!$K172))</f>
        <v>36646.996422564131</v>
      </c>
      <c r="R173" s="366">
        <f>(('Methane Leakage'!$C$6/'Methane Leakage'!$C$5)*102*'Emissions Factors'!$C$38*'Calcs - Power'!$B172+'Emissions Factors'!$C$37*('Calcs - Power'!$C172+'Calcs - Power'!$D172+'Calcs - Power'!$E172+'Calcs - Power'!$F172))</f>
        <v>3576909.7177749118</v>
      </c>
      <c r="S173" s="359">
        <f>(('Methane Leakage'!$C$6/'Methane Leakage'!$C$5)*102*'Emissions Factors'!$D$38*'Calcs - Power'!$G172+'Emissions Factors'!$D$37*('Calcs - Power'!$H172+'Calcs - Power'!$I172+'Calcs - Power'!$J172+'Calcs - Power'!$K172))</f>
        <v>36646.996422564131</v>
      </c>
      <c r="T173" s="366">
        <f>(('Methane Leakage'!$C$6/'Methane Leakage'!$C$5)*102*'Emissions Factors'!$D$38*'Calcs - Power'!$B172+'Emissions Factors'!$D$37*('Calcs - Power'!$C172+'Calcs - Power'!$D172+'Calcs - Power'!$E172+'Calcs - Power'!$F172))</f>
        <v>3576909.7177749118</v>
      </c>
      <c r="U173" s="361">
        <f>(102*'Emissions Factors'!$C$36*'Calcs - Power'!$G172+'Emissions Factors'!$C$35*('Calcs - Power'!$H172+'Calcs - Power'!$I172+'Calcs - Power'!$J172+'Calcs - Power'!$K172))</f>
        <v>67874.078469456086</v>
      </c>
      <c r="V173" s="366">
        <f>(102*'Emissions Factors'!$C$36*'Calcs - Power'!$B172+'Emissions Factors'!$C$35*('Calcs - Power'!$C172+'Calcs - Power'!$D172+'Calcs - Power'!$E172+'Calcs - Power'!$F172))</f>
        <v>6251274.170304006</v>
      </c>
      <c r="W173" s="359">
        <f>(102*'Emissions Factors'!$D$36*'Calcs - Power'!$G172+'Emissions Factors'!$D$35*('Calcs - Power'!$H172+'Calcs - Power'!$I172+'Calcs - Power'!$J172+'Calcs - Power'!$K172))</f>
        <v>67874.078469456086</v>
      </c>
      <c r="X173" s="366">
        <f>(102*'Emissions Factors'!$D$36*'Calcs - Power'!$B172+'Emissions Factors'!$D$35*('Calcs - Power'!$C172+'Calcs - Power'!$D172+'Calcs - Power'!$E172+'Calcs - Power'!$F172))</f>
        <v>6251274.170304006</v>
      </c>
      <c r="Y173" s="359">
        <f>(102*'Emissions Factors'!$C$38*'Calcs - Power'!$G172+'Emissions Factors'!$C$37*('Calcs - Power'!$H172+'Calcs - Power'!$I172+'Calcs - Power'!$J172+'Calcs - Power'!$K172))</f>
        <v>36646.996422564131</v>
      </c>
      <c r="Z173" s="366">
        <f>(102*'Emissions Factors'!$C$38*'Calcs - Power'!$B172+'Emissions Factors'!$C$37*('Calcs - Power'!$C172+'Calcs - Power'!$D172+'Calcs - Power'!$E172+'Calcs - Power'!$F172))</f>
        <v>3576909.7177749118</v>
      </c>
      <c r="AA173" s="359">
        <f>(102*'Emissions Factors'!$C$36*'Calcs - Power'!$G172+'Emissions Factors'!$C$35*('Calcs - Power'!$H172+'Calcs - Power'!$I172+'Calcs - Power'!$J172+'Calcs - Power'!$K172))</f>
        <v>67874.078469456086</v>
      </c>
      <c r="AB173" s="366">
        <f>(102*'Emissions Factors'!$C$36*'Calcs - Power'!$B172+'Emissions Factors'!$C$35*('Calcs - Power'!$C172+'Calcs - Power'!$D172+'Calcs - Power'!$E172+'Calcs - Power'!$F172))</f>
        <v>6251274.170304006</v>
      </c>
      <c r="AI173" s="358">
        <f t="shared" si="32"/>
        <v>161</v>
      </c>
      <c r="AJ173" s="359">
        <f>(('Methane Leakage'!$G$6/'Methane Leakage'!$G$5)*102*'Emissions Factors'!$D$10*'Calcs - Power'!$G172+'Emissions Factors'!$D$11*('Calcs - Power'!$H172+'Calcs - Power'!$I172+'Calcs - Power'!$J172+'Calcs - Power'!$K172))</f>
        <v>5006.1850164653943</v>
      </c>
      <c r="AK173" s="366">
        <f>(('Methane Leakage'!$G$6/'Methane Leakage'!$G$5)*102*'Emissions Factors'!$D$10*'Calcs - Power'!$B172+'Emissions Factors'!$D$11*('Calcs - Power'!$C172+'Calcs - Power'!$D172+'Calcs - Power'!$E172+'Calcs - Power'!$F172))</f>
        <v>498901.10283606884</v>
      </c>
      <c r="AL173" s="359">
        <f>(102*'Emissions Factors'!$E$10*'Calcs - Power'!$G172+'Emissions Factors'!$E$11*('Calcs - Power'!H172+'Calcs - Power'!I172+'Calcs - Power'!J172+'Calcs - Power'!K172))</f>
        <v>6037.9379238660204</v>
      </c>
      <c r="AM173" s="366">
        <f>(102*'Emissions Factors'!$E$10*'Calcs - Power'!$B172+'Emissions Factors'!$E$11*('Calcs - Power'!C172+'Calcs - Power'!D172+'Calcs - Power'!E172+'Calcs - Power'!F172))</f>
        <v>558662.83787311381</v>
      </c>
      <c r="AN173" s="359">
        <f>(102*'Emissions Factors'!$D$10*'Calcs - Power'!$G172+'Emissions Factors'!$D$11*('Calcs - Power'!$H172+'Calcs - Power'!$I172+'Calcs - Power'!$J172+'Calcs - Power'!$K172))</f>
        <v>5006.1850164653943</v>
      </c>
      <c r="AO173" s="366">
        <f>(102*'Emissions Factors'!$D$10*'Calcs - Power'!$B172+'Emissions Factors'!$D$11*('Calcs - Power'!$C172+'Calcs - Power'!$D172+'Calcs - Power'!$E172+'Calcs - Power'!$F172))</f>
        <v>498901.10283606884</v>
      </c>
      <c r="AP173" s="367">
        <f>(102*'Emissions Factors'!$E$10*'Calcs - Power'!$G172+'Emissions Factors'!$E$11*('Calcs - Power'!H172+'Calcs - Power'!I172+'Calcs - Power'!J172+'Calcs - Power'!K172))</f>
        <v>6037.9379238660204</v>
      </c>
      <c r="AQ173" s="366">
        <f>(102*'Emissions Factors'!$E$10*'Calcs - Power'!$B172+'Emissions Factors'!$E$11*('Calcs - Power'!C172+'Calcs - Power'!D172+'Calcs - Power'!E172+'Calcs - Power'!F172))</f>
        <v>558662.83787311381</v>
      </c>
      <c r="AS173" s="357"/>
      <c r="AT173" s="357"/>
      <c r="AU173" s="357"/>
      <c r="AV173" s="357"/>
      <c r="AX173" s="358">
        <f t="shared" si="33"/>
        <v>161</v>
      </c>
      <c r="AY173" s="359">
        <f>(('Methane Leakage'!$G$6/'Methane Leakage'!$G$5)*102*'Emissions Factors'!$F$10*'Calcs - Power'!$G172+'Emissions Factors'!$F$11*('Calcs - Power'!$H172+'Calcs - Power'!$I172+'Calcs - Power'!$J172+'Calcs - Power'!$K172))</f>
        <v>6909678.2292897664</v>
      </c>
      <c r="AZ173" s="366">
        <f>(('Methane Leakage'!$G$6/'Methane Leakage'!$G$5)*102*'Emissions Factors'!$F$10*'Calcs - Power'!$B172+'Emissions Factors'!$F$11*('Calcs - Power'!$C172+'Calcs - Power'!$D172+'Calcs - Power'!$E172+'Calcs - Power'!$F172))</f>
        <v>673520250.74220657</v>
      </c>
      <c r="BA173" s="359">
        <f>(102*'Emissions Factors'!$G$10*'Calcs - Power'!$G172+'Emissions Factors'!$G$11*('Calcs - Power'!H172+'Calcs - Power'!I172+'Calcs - Power'!J172+'Calcs - Power'!K172))</f>
        <v>6977021.2984331353</v>
      </c>
      <c r="BB173" s="366">
        <f>(102*'Emissions Factors'!$G$10*'Calcs - Power'!$B172+'Emissions Factors'!$G$11*('Calcs - Power'!C172+'Calcs - Power'!D172+'Calcs - Power'!E172+'Calcs - Power'!F172))</f>
        <v>643996221.6340065</v>
      </c>
      <c r="BC173" s="359">
        <f>(102*'Emissions Factors'!$F$10*'Calcs - Power'!$G172+'Emissions Factors'!$F$11*('Calcs - Power'!$H172+'Calcs - Power'!$I172+'Calcs - Power'!$J172+'Calcs - Power'!$K172))</f>
        <v>6909678.2292897664</v>
      </c>
      <c r="BD173" s="366">
        <f>(102*'Emissions Factors'!$F$10*'Calcs - Power'!$B172+'Emissions Factors'!$F$11*('Calcs - Power'!$C172+'Calcs - Power'!$D172+'Calcs - Power'!$E172+'Calcs - Power'!$F172))</f>
        <v>673520250.74220657</v>
      </c>
      <c r="BE173" s="359">
        <f>(102*'Emissions Factors'!$G$10*'Calcs - Power'!$G172+'Emissions Factors'!$G$11*('Calcs - Power'!H172+'Calcs - Power'!I172+'Calcs - Power'!J172+'Calcs - Power'!K172))</f>
        <v>6977021.2984331353</v>
      </c>
      <c r="BF173" s="366">
        <f>(102*'Emissions Factors'!$G$10*'Calcs - Power'!$B172+'Emissions Factors'!$G$11*('Calcs - Power'!C172+'Calcs - Power'!D172+'Calcs - Power'!E172+'Calcs - Power'!F172))</f>
        <v>643996221.6340065</v>
      </c>
    </row>
    <row r="174" spans="1:58" x14ac:dyDescent="0.3">
      <c r="A174" s="351">
        <f t="shared" si="30"/>
        <v>162</v>
      </c>
      <c r="B174" s="352">
        <f t="shared" si="24"/>
        <v>0.99999999999999978</v>
      </c>
      <c r="C174" s="363">
        <f t="shared" si="25"/>
        <v>0.99999999999999989</v>
      </c>
      <c r="D174" s="352">
        <f t="shared" si="26"/>
        <v>1</v>
      </c>
      <c r="E174" s="364">
        <f t="shared" si="27"/>
        <v>1</v>
      </c>
      <c r="F174" s="364">
        <f t="shared" si="28"/>
        <v>1</v>
      </c>
      <c r="G174" s="365">
        <f t="shared" si="29"/>
        <v>1</v>
      </c>
      <c r="P174" s="358">
        <f t="shared" si="31"/>
        <v>162</v>
      </c>
      <c r="Q174" s="359">
        <f>(('Methane Leakage'!$C$6/'Methane Leakage'!$C$5)*102*'Emissions Factors'!$C$38*'Calcs - Power'!$G173+'Emissions Factors'!$C$37*('Calcs - Power'!$H173+'Calcs - Power'!$I173+'Calcs - Power'!$J173+'Calcs - Power'!$K173))</f>
        <v>36798.802854732479</v>
      </c>
      <c r="R174" s="366">
        <f>(('Methane Leakage'!$C$6/'Methane Leakage'!$C$5)*102*'Emissions Factors'!$C$38*'Calcs - Power'!$B173+'Emissions Factors'!$C$37*('Calcs - Power'!$C173+'Calcs - Power'!$D173+'Calcs - Power'!$E173+'Calcs - Power'!$F173))</f>
        <v>3613632.6408903645</v>
      </c>
      <c r="S174" s="359">
        <f>(('Methane Leakage'!$C$6/'Methane Leakage'!$C$5)*102*'Emissions Factors'!$D$38*'Calcs - Power'!$G173+'Emissions Factors'!$D$37*('Calcs - Power'!$H173+'Calcs - Power'!$I173+'Calcs - Power'!$J173+'Calcs - Power'!$K173))</f>
        <v>36798.802854732479</v>
      </c>
      <c r="T174" s="366">
        <f>(('Methane Leakage'!$C$6/'Methane Leakage'!$C$5)*102*'Emissions Factors'!$D$38*'Calcs - Power'!$B173+'Emissions Factors'!$D$37*('Calcs - Power'!$C173+'Calcs - Power'!$D173+'Calcs - Power'!$E173+'Calcs - Power'!$F173))</f>
        <v>3613632.6408903645</v>
      </c>
      <c r="U174" s="361">
        <f>(102*'Emissions Factors'!$C$36*'Calcs - Power'!$G173+'Emissions Factors'!$C$35*('Calcs - Power'!$H173+'Calcs - Power'!$I173+'Calcs - Power'!$J173+'Calcs - Power'!$K173))</f>
        <v>68185.345400542312</v>
      </c>
      <c r="V174" s="366">
        <f>(102*'Emissions Factors'!$C$36*'Calcs - Power'!$B173+'Emissions Factors'!$C$35*('Calcs - Power'!$C173+'Calcs - Power'!$D173+'Calcs - Power'!$E173+'Calcs - Power'!$F173))</f>
        <v>6319303.9303704333</v>
      </c>
      <c r="W174" s="359">
        <f>(102*'Emissions Factors'!$D$36*'Calcs - Power'!$G173+'Emissions Factors'!$D$35*('Calcs - Power'!$H173+'Calcs - Power'!$I173+'Calcs - Power'!$J173+'Calcs - Power'!$K173))</f>
        <v>68185.345400542312</v>
      </c>
      <c r="X174" s="366">
        <f>(102*'Emissions Factors'!$D$36*'Calcs - Power'!$B173+'Emissions Factors'!$D$35*('Calcs - Power'!$C173+'Calcs - Power'!$D173+'Calcs - Power'!$E173+'Calcs - Power'!$F173))</f>
        <v>6319303.9303704333</v>
      </c>
      <c r="Y174" s="359">
        <f>(102*'Emissions Factors'!$C$38*'Calcs - Power'!$G173+'Emissions Factors'!$C$37*('Calcs - Power'!$H173+'Calcs - Power'!$I173+'Calcs - Power'!$J173+'Calcs - Power'!$K173))</f>
        <v>36798.802854732479</v>
      </c>
      <c r="Z174" s="366">
        <f>(102*'Emissions Factors'!$C$38*'Calcs - Power'!$B173+'Emissions Factors'!$C$37*('Calcs - Power'!$C173+'Calcs - Power'!$D173+'Calcs - Power'!$E173+'Calcs - Power'!$F173))</f>
        <v>3613632.6408903645</v>
      </c>
      <c r="AA174" s="359">
        <f>(102*'Emissions Factors'!$C$36*'Calcs - Power'!$G173+'Emissions Factors'!$C$35*('Calcs - Power'!$H173+'Calcs - Power'!$I173+'Calcs - Power'!$J173+'Calcs - Power'!$K173))</f>
        <v>68185.345400542312</v>
      </c>
      <c r="AB174" s="366">
        <f>(102*'Emissions Factors'!$C$36*'Calcs - Power'!$B173+'Emissions Factors'!$C$35*('Calcs - Power'!$C173+'Calcs - Power'!$D173+'Calcs - Power'!$E173+'Calcs - Power'!$F173))</f>
        <v>6319303.9303704333</v>
      </c>
      <c r="AI174" s="358">
        <f t="shared" si="32"/>
        <v>162</v>
      </c>
      <c r="AJ174" s="359">
        <f>(('Methane Leakage'!$G$6/'Methane Leakage'!$G$5)*102*'Emissions Factors'!$D$10*'Calcs - Power'!$G173+'Emissions Factors'!$D$11*('Calcs - Power'!$H173+'Calcs - Power'!$I173+'Calcs - Power'!$J173+'Calcs - Power'!$K173))</f>
        <v>5026.094489207836</v>
      </c>
      <c r="AK174" s="366">
        <f>(('Methane Leakage'!$G$6/'Methane Leakage'!$G$5)*102*'Emissions Factors'!$D$10*'Calcs - Power'!$B173+'Emissions Factors'!$D$11*('Calcs - Power'!$C173+'Calcs - Power'!$D173+'Calcs - Power'!$E173+'Calcs - Power'!$F173))</f>
        <v>503917.24566805921</v>
      </c>
      <c r="AL174" s="359">
        <f>(102*'Emissions Factors'!$E$10*'Calcs - Power'!$G173+'Emissions Factors'!$E$11*('Calcs - Power'!H173+'Calcs - Power'!I173+'Calcs - Power'!J173+'Calcs - Power'!K173))</f>
        <v>6065.4210699839023</v>
      </c>
      <c r="AM174" s="366">
        <f>(102*'Emissions Factors'!$E$10*'Calcs - Power'!$B173+'Emissions Factors'!$E$11*('Calcs - Power'!C173+'Calcs - Power'!D173+'Calcs - Power'!E173+'Calcs - Power'!F173))</f>
        <v>564714.52161981375</v>
      </c>
      <c r="AN174" s="359">
        <f>(102*'Emissions Factors'!$D$10*'Calcs - Power'!$G173+'Emissions Factors'!$D$11*('Calcs - Power'!$H173+'Calcs - Power'!$I173+'Calcs - Power'!$J173+'Calcs - Power'!$K173))</f>
        <v>5026.094489207836</v>
      </c>
      <c r="AO174" s="366">
        <f>(102*'Emissions Factors'!$D$10*'Calcs - Power'!$B173+'Emissions Factors'!$D$11*('Calcs - Power'!$C173+'Calcs - Power'!$D173+'Calcs - Power'!$E173+'Calcs - Power'!$F173))</f>
        <v>503917.24566805921</v>
      </c>
      <c r="AP174" s="367">
        <f>(102*'Emissions Factors'!$E$10*'Calcs - Power'!$G173+'Emissions Factors'!$E$11*('Calcs - Power'!H173+'Calcs - Power'!I173+'Calcs - Power'!J173+'Calcs - Power'!K173))</f>
        <v>6065.4210699839023</v>
      </c>
      <c r="AQ174" s="366">
        <f>(102*'Emissions Factors'!$E$10*'Calcs - Power'!$B173+'Emissions Factors'!$E$11*('Calcs - Power'!C173+'Calcs - Power'!D173+'Calcs - Power'!E173+'Calcs - Power'!F173))</f>
        <v>564714.52161981375</v>
      </c>
      <c r="AS174" s="357"/>
      <c r="AT174" s="357"/>
      <c r="AU174" s="357"/>
      <c r="AV174" s="357"/>
      <c r="AX174" s="358">
        <f t="shared" si="33"/>
        <v>162</v>
      </c>
      <c r="AY174" s="359">
        <f>(('Methane Leakage'!$G$6/'Methane Leakage'!$G$5)*102*'Emissions Factors'!$F$10*'Calcs - Power'!$G173+'Emissions Factors'!$F$11*('Calcs - Power'!$H173+'Calcs - Power'!$I173+'Calcs - Power'!$J173+'Calcs - Power'!$K173))</f>
        <v>6938373.0015613176</v>
      </c>
      <c r="AZ174" s="366">
        <f>(('Methane Leakage'!$G$6/'Methane Leakage'!$G$5)*102*'Emissions Factors'!$F$10*'Calcs - Power'!$B173+'Emissions Factors'!$F$11*('Calcs - Power'!$C173+'Calcs - Power'!$D173+'Calcs - Power'!$E173+'Calcs - Power'!$F173))</f>
        <v>680444280.79525304</v>
      </c>
      <c r="BA174" s="359">
        <f>(102*'Emissions Factors'!$G$10*'Calcs - Power'!$G173+'Emissions Factors'!$G$11*('Calcs - Power'!H173+'Calcs - Power'!I173+'Calcs - Power'!J173+'Calcs - Power'!K173))</f>
        <v>7008904.2952878745</v>
      </c>
      <c r="BB174" s="366">
        <f>(102*'Emissions Factors'!$G$10*'Calcs - Power'!$B173+'Emissions Factors'!$G$11*('Calcs - Power'!C173+'Calcs - Power'!D173+'Calcs - Power'!E173+'Calcs - Power'!F173))</f>
        <v>650989189.36097765</v>
      </c>
      <c r="BC174" s="359">
        <f>(102*'Emissions Factors'!$F$10*'Calcs - Power'!$G173+'Emissions Factors'!$F$11*('Calcs - Power'!$H173+'Calcs - Power'!$I173+'Calcs - Power'!$J173+'Calcs - Power'!$K173))</f>
        <v>6938373.0015613176</v>
      </c>
      <c r="BD174" s="366">
        <f>(102*'Emissions Factors'!$F$10*'Calcs - Power'!$B173+'Emissions Factors'!$F$11*('Calcs - Power'!$C173+'Calcs - Power'!$D173+'Calcs - Power'!$E173+'Calcs - Power'!$F173))</f>
        <v>680444280.79525304</v>
      </c>
      <c r="BE174" s="359">
        <f>(102*'Emissions Factors'!$G$10*'Calcs - Power'!$G173+'Emissions Factors'!$G$11*('Calcs - Power'!H173+'Calcs - Power'!I173+'Calcs - Power'!J173+'Calcs - Power'!K173))</f>
        <v>7008904.2952878745</v>
      </c>
      <c r="BF174" s="366">
        <f>(102*'Emissions Factors'!$G$10*'Calcs - Power'!$B173+'Emissions Factors'!$G$11*('Calcs - Power'!C173+'Calcs - Power'!D173+'Calcs - Power'!E173+'Calcs - Power'!F173))</f>
        <v>650989189.36097765</v>
      </c>
    </row>
    <row r="175" spans="1:58" x14ac:dyDescent="0.3">
      <c r="A175" s="351">
        <f t="shared" si="30"/>
        <v>163</v>
      </c>
      <c r="B175" s="352">
        <f t="shared" si="24"/>
        <v>0.99999999999999978</v>
      </c>
      <c r="C175" s="363">
        <f t="shared" si="25"/>
        <v>0.99999999999999989</v>
      </c>
      <c r="D175" s="352">
        <f t="shared" si="26"/>
        <v>1</v>
      </c>
      <c r="E175" s="364">
        <f t="shared" si="27"/>
        <v>1</v>
      </c>
      <c r="F175" s="364">
        <f t="shared" si="28"/>
        <v>1</v>
      </c>
      <c r="G175" s="365">
        <f t="shared" si="29"/>
        <v>1</v>
      </c>
      <c r="P175" s="358">
        <f t="shared" si="31"/>
        <v>163</v>
      </c>
      <c r="Q175" s="359">
        <f>(('Methane Leakage'!$C$6/'Methane Leakage'!$C$5)*102*'Emissions Factors'!$C$38*'Calcs - Power'!$G174+'Emissions Factors'!$C$37*('Calcs - Power'!$H174+'Calcs - Power'!$I174+'Calcs - Power'!$J174+'Calcs - Power'!$K174))</f>
        <v>36950.328413041905</v>
      </c>
      <c r="R175" s="366">
        <f>(('Methane Leakage'!$C$6/'Methane Leakage'!$C$5)*102*'Emissions Factors'!$C$38*'Calcs - Power'!$B174+'Emissions Factors'!$C$37*('Calcs - Power'!$C174+'Calcs - Power'!$D174+'Calcs - Power'!$E174+'Calcs - Power'!$F174))</f>
        <v>3650507.2298599086</v>
      </c>
      <c r="S175" s="359">
        <f>(('Methane Leakage'!$C$6/'Methane Leakage'!$C$5)*102*'Emissions Factors'!$D$38*'Calcs - Power'!$G174+'Emissions Factors'!$D$37*('Calcs - Power'!$H174+'Calcs - Power'!$I174+'Calcs - Power'!$J174+'Calcs - Power'!$K174))</f>
        <v>36950.328413041905</v>
      </c>
      <c r="T175" s="366">
        <f>(('Methane Leakage'!$C$6/'Methane Leakage'!$C$5)*102*'Emissions Factors'!$D$38*'Calcs - Power'!$B174+'Emissions Factors'!$D$37*('Calcs - Power'!$C174+'Calcs - Power'!$D174+'Calcs - Power'!$E174+'Calcs - Power'!$F174))</f>
        <v>3650507.2298599086</v>
      </c>
      <c r="U175" s="361">
        <f>(102*'Emissions Factors'!$C$36*'Calcs - Power'!$G174+'Emissions Factors'!$C$35*('Calcs - Power'!$H174+'Calcs - Power'!$I174+'Calcs - Power'!$J174+'Calcs - Power'!$K174))</f>
        <v>68496.0364899079</v>
      </c>
      <c r="V175" s="366">
        <f>(102*'Emissions Factors'!$C$36*'Calcs - Power'!$B174+'Emissions Factors'!$C$35*('Calcs - Power'!$C174+'Calcs - Power'!$D174+'Calcs - Power'!$E174+'Calcs - Power'!$F174))</f>
        <v>6387644.669158156</v>
      </c>
      <c r="W175" s="359">
        <f>(102*'Emissions Factors'!$D$36*'Calcs - Power'!$G174+'Emissions Factors'!$D$35*('Calcs - Power'!$H174+'Calcs - Power'!$I174+'Calcs - Power'!$J174+'Calcs - Power'!$K174))</f>
        <v>68496.0364899079</v>
      </c>
      <c r="X175" s="366">
        <f>(102*'Emissions Factors'!$D$36*'Calcs - Power'!$B174+'Emissions Factors'!$D$35*('Calcs - Power'!$C174+'Calcs - Power'!$D174+'Calcs - Power'!$E174+'Calcs - Power'!$F174))</f>
        <v>6387644.669158156</v>
      </c>
      <c r="Y175" s="359">
        <f>(102*'Emissions Factors'!$C$38*'Calcs - Power'!$G174+'Emissions Factors'!$C$37*('Calcs - Power'!$H174+'Calcs - Power'!$I174+'Calcs - Power'!$J174+'Calcs - Power'!$K174))</f>
        <v>36950.328413041905</v>
      </c>
      <c r="Z175" s="366">
        <f>(102*'Emissions Factors'!$C$38*'Calcs - Power'!$B174+'Emissions Factors'!$C$37*('Calcs - Power'!$C174+'Calcs - Power'!$D174+'Calcs - Power'!$E174+'Calcs - Power'!$F174))</f>
        <v>3650507.2298599086</v>
      </c>
      <c r="AA175" s="359">
        <f>(102*'Emissions Factors'!$C$36*'Calcs - Power'!$G174+'Emissions Factors'!$C$35*('Calcs - Power'!$H174+'Calcs - Power'!$I174+'Calcs - Power'!$J174+'Calcs - Power'!$K174))</f>
        <v>68496.0364899079</v>
      </c>
      <c r="AB175" s="366">
        <f>(102*'Emissions Factors'!$C$36*'Calcs - Power'!$B174+'Emissions Factors'!$C$35*('Calcs - Power'!$C174+'Calcs - Power'!$D174+'Calcs - Power'!$E174+'Calcs - Power'!$F174))</f>
        <v>6387644.669158156</v>
      </c>
      <c r="AI175" s="358">
        <f t="shared" si="32"/>
        <v>163</v>
      </c>
      <c r="AJ175" s="359">
        <f>(('Methane Leakage'!$G$6/'Methane Leakage'!$G$5)*102*'Emissions Factors'!$D$10*'Calcs - Power'!$G174+'Emissions Factors'!$D$11*('Calcs - Power'!$H174+'Calcs - Power'!$I174+'Calcs - Power'!$J174+'Calcs - Power'!$K174))</f>
        <v>5045.9671233738045</v>
      </c>
      <c r="AK175" s="366">
        <f>(('Methane Leakage'!$G$6/'Methane Leakage'!$G$5)*102*'Emissions Factors'!$D$10*'Calcs - Power'!$B174+'Emissions Factors'!$D$11*('Calcs - Power'!$C174+'Calcs - Power'!$D174+'Calcs - Power'!$E174+'Calcs - Power'!$F174))</f>
        <v>508953.27953497902</v>
      </c>
      <c r="AL175" s="359">
        <f>(102*'Emissions Factors'!$E$10*'Calcs - Power'!$G174+'Emissions Factors'!$E$11*('Calcs - Power'!H174+'Calcs - Power'!I174+'Calcs - Power'!J174+'Calcs - Power'!K174))</f>
        <v>6092.8533720479791</v>
      </c>
      <c r="AM175" s="366">
        <f>(102*'Emissions Factors'!$E$10*'Calcs - Power'!$B174+'Emissions Factors'!$E$11*('Calcs - Power'!C174+'Calcs - Power'!D174+'Calcs - Power'!E174+'Calcs - Power'!F174))</f>
        <v>570793.66306509066</v>
      </c>
      <c r="AN175" s="359">
        <f>(102*'Emissions Factors'!$D$10*'Calcs - Power'!$G174+'Emissions Factors'!$D$11*('Calcs - Power'!$H174+'Calcs - Power'!$I174+'Calcs - Power'!$J174+'Calcs - Power'!$K174))</f>
        <v>5045.9671233738045</v>
      </c>
      <c r="AO175" s="366">
        <f>(102*'Emissions Factors'!$D$10*'Calcs - Power'!$B174+'Emissions Factors'!$D$11*('Calcs - Power'!$C174+'Calcs - Power'!$D174+'Calcs - Power'!$E174+'Calcs - Power'!$F174))</f>
        <v>508953.27953497902</v>
      </c>
      <c r="AP175" s="367">
        <f>(102*'Emissions Factors'!$E$10*'Calcs - Power'!$G174+'Emissions Factors'!$E$11*('Calcs - Power'!H174+'Calcs - Power'!I174+'Calcs - Power'!J174+'Calcs - Power'!K174))</f>
        <v>6092.8533720479791</v>
      </c>
      <c r="AQ175" s="366">
        <f>(102*'Emissions Factors'!$E$10*'Calcs - Power'!$B174+'Emissions Factors'!$E$11*('Calcs - Power'!C174+'Calcs - Power'!D174+'Calcs - Power'!E174+'Calcs - Power'!F174))</f>
        <v>570793.66306509066</v>
      </c>
      <c r="AS175" s="357"/>
      <c r="AT175" s="357"/>
      <c r="AU175" s="357"/>
      <c r="AV175" s="357"/>
      <c r="AX175" s="358">
        <f t="shared" si="33"/>
        <v>163</v>
      </c>
      <c r="AY175" s="359">
        <f>(('Methane Leakage'!$G$6/'Methane Leakage'!$G$5)*102*'Emissions Factors'!$F$10*'Calcs - Power'!$G174+'Emissions Factors'!$F$11*('Calcs - Power'!$H174+'Calcs - Power'!$I174+'Calcs - Power'!$J174+'Calcs - Power'!$K174))</f>
        <v>6967014.6826251885</v>
      </c>
      <c r="AZ175" s="366">
        <f>(('Methane Leakage'!$G$6/'Methane Leakage'!$G$5)*102*'Emissions Factors'!$F$10*'Calcs - Power'!$B174+'Emissions Factors'!$F$11*('Calcs - Power'!$C174+'Calcs - Power'!$D174+'Calcs - Power'!$E174+'Calcs - Power'!$F174))</f>
        <v>687396979.04828858</v>
      </c>
      <c r="BA175" s="359">
        <f>(102*'Emissions Factors'!$G$10*'Calcs - Power'!$G174+'Emissions Factors'!$G$11*('Calcs - Power'!H174+'Calcs - Power'!I174+'Calcs - Power'!J174+'Calcs - Power'!K174))</f>
        <v>7040728.3085839106</v>
      </c>
      <c r="BB175" s="366">
        <f>(102*'Emissions Factors'!$G$10*'Calcs - Power'!$B174+'Emissions Factors'!$G$11*('Calcs - Power'!C174+'Calcs - Power'!D174+'Calcs - Power'!E174+'Calcs - Power'!F174))</f>
        <v>658014010.56342733</v>
      </c>
      <c r="BC175" s="359">
        <f>(102*'Emissions Factors'!$F$10*'Calcs - Power'!$G174+'Emissions Factors'!$F$11*('Calcs - Power'!$H174+'Calcs - Power'!$I174+'Calcs - Power'!$J174+'Calcs - Power'!$K174))</f>
        <v>6967014.6826251885</v>
      </c>
      <c r="BD175" s="366">
        <f>(102*'Emissions Factors'!$F$10*'Calcs - Power'!$B174+'Emissions Factors'!$F$11*('Calcs - Power'!$C174+'Calcs - Power'!$D174+'Calcs - Power'!$E174+'Calcs - Power'!$F174))</f>
        <v>687396979.04828858</v>
      </c>
      <c r="BE175" s="359">
        <f>(102*'Emissions Factors'!$G$10*'Calcs - Power'!$G174+'Emissions Factors'!$G$11*('Calcs - Power'!H174+'Calcs - Power'!I174+'Calcs - Power'!J174+'Calcs - Power'!K174))</f>
        <v>7040728.3085839106</v>
      </c>
      <c r="BF175" s="366">
        <f>(102*'Emissions Factors'!$G$10*'Calcs - Power'!$B174+'Emissions Factors'!$G$11*('Calcs - Power'!C174+'Calcs - Power'!D174+'Calcs - Power'!E174+'Calcs - Power'!F174))</f>
        <v>658014010.56342733</v>
      </c>
    </row>
    <row r="176" spans="1:58" x14ac:dyDescent="0.3">
      <c r="A176" s="351">
        <f t="shared" si="30"/>
        <v>164</v>
      </c>
      <c r="B176" s="352">
        <f t="shared" si="24"/>
        <v>1</v>
      </c>
      <c r="C176" s="363">
        <f t="shared" si="25"/>
        <v>0.99999999999999989</v>
      </c>
      <c r="D176" s="352">
        <f t="shared" si="26"/>
        <v>1</v>
      </c>
      <c r="E176" s="364">
        <f t="shared" si="27"/>
        <v>1</v>
      </c>
      <c r="F176" s="364">
        <f t="shared" si="28"/>
        <v>1</v>
      </c>
      <c r="G176" s="365">
        <f t="shared" si="29"/>
        <v>1</v>
      </c>
      <c r="P176" s="358">
        <f t="shared" si="31"/>
        <v>164</v>
      </c>
      <c r="Q176" s="359">
        <f>(('Methane Leakage'!$C$6/'Methane Leakage'!$C$5)*102*'Emissions Factors'!$C$38*'Calcs - Power'!$G175+'Emissions Factors'!$C$37*('Calcs - Power'!$H175+'Calcs - Power'!$I175+'Calcs - Power'!$J175+'Calcs - Power'!$K175))</f>
        <v>37101.574784521268</v>
      </c>
      <c r="R176" s="366">
        <f>(('Methane Leakage'!$C$6/'Methane Leakage'!$C$5)*102*'Emissions Factors'!$C$38*'Calcs - Power'!$B175+'Emissions Factors'!$C$37*('Calcs - Power'!$C175+'Calcs - Power'!$D175+'Calcs - Power'!$E175+'Calcs - Power'!$F175))</f>
        <v>3687533.2046543215</v>
      </c>
      <c r="S176" s="359">
        <f>(('Methane Leakage'!$C$6/'Methane Leakage'!$C$5)*102*'Emissions Factors'!$D$38*'Calcs - Power'!$G175+'Emissions Factors'!$D$37*('Calcs - Power'!$H175+'Calcs - Power'!$I175+'Calcs - Power'!$J175+'Calcs - Power'!$K175))</f>
        <v>37101.574784521268</v>
      </c>
      <c r="T176" s="366">
        <f>(('Methane Leakage'!$C$6/'Methane Leakage'!$C$5)*102*'Emissions Factors'!$D$38*'Calcs - Power'!$B175+'Emissions Factors'!$D$37*('Calcs - Power'!$C175+'Calcs - Power'!$D175+'Calcs - Power'!$E175+'Calcs - Power'!$F175))</f>
        <v>3687533.2046543215</v>
      </c>
      <c r="U176" s="361">
        <f>(102*'Emissions Factors'!$C$36*'Calcs - Power'!$G175+'Emissions Factors'!$C$35*('Calcs - Power'!$H175+'Calcs - Power'!$I175+'Calcs - Power'!$J175+'Calcs - Power'!$K175))</f>
        <v>68806.155191144368</v>
      </c>
      <c r="V176" s="366">
        <f>(102*'Emissions Factors'!$C$36*'Calcs - Power'!$B175+'Emissions Factors'!$C$35*('Calcs - Power'!$C175+'Calcs - Power'!$D175+'Calcs - Power'!$E175+'Calcs - Power'!$F175))</f>
        <v>6456295.8125545084</v>
      </c>
      <c r="W176" s="359">
        <f>(102*'Emissions Factors'!$D$36*'Calcs - Power'!$G175+'Emissions Factors'!$D$35*('Calcs - Power'!$H175+'Calcs - Power'!$I175+'Calcs - Power'!$J175+'Calcs - Power'!$K175))</f>
        <v>68806.155191144368</v>
      </c>
      <c r="X176" s="366">
        <f>(102*'Emissions Factors'!$D$36*'Calcs - Power'!$B175+'Emissions Factors'!$D$35*('Calcs - Power'!$C175+'Calcs - Power'!$D175+'Calcs - Power'!$E175+'Calcs - Power'!$F175))</f>
        <v>6456295.8125545084</v>
      </c>
      <c r="Y176" s="359">
        <f>(102*'Emissions Factors'!$C$38*'Calcs - Power'!$G175+'Emissions Factors'!$C$37*('Calcs - Power'!$H175+'Calcs - Power'!$I175+'Calcs - Power'!$J175+'Calcs - Power'!$K175))</f>
        <v>37101.574784521268</v>
      </c>
      <c r="Z176" s="366">
        <f>(102*'Emissions Factors'!$C$38*'Calcs - Power'!$B175+'Emissions Factors'!$C$37*('Calcs - Power'!$C175+'Calcs - Power'!$D175+'Calcs - Power'!$E175+'Calcs - Power'!$F175))</f>
        <v>3687533.2046543215</v>
      </c>
      <c r="AA176" s="359">
        <f>(102*'Emissions Factors'!$C$36*'Calcs - Power'!$G175+'Emissions Factors'!$C$35*('Calcs - Power'!$H175+'Calcs - Power'!$I175+'Calcs - Power'!$J175+'Calcs - Power'!$K175))</f>
        <v>68806.155191144368</v>
      </c>
      <c r="AB176" s="366">
        <f>(102*'Emissions Factors'!$C$36*'Calcs - Power'!$B175+'Emissions Factors'!$C$35*('Calcs - Power'!$C175+'Calcs - Power'!$D175+'Calcs - Power'!$E175+'Calcs - Power'!$F175))</f>
        <v>6456295.8125545084</v>
      </c>
      <c r="AI176" s="358">
        <f t="shared" si="32"/>
        <v>164</v>
      </c>
      <c r="AJ176" s="359">
        <f>(('Methane Leakage'!$G$6/'Methane Leakage'!$G$5)*102*'Emissions Factors'!$D$10*'Calcs - Power'!$G175+'Emissions Factors'!$D$11*('Calcs - Power'!$H175+'Calcs - Power'!$I175+'Calcs - Power'!$J175+'Calcs - Power'!$K175))</f>
        <v>5065.8031403698033</v>
      </c>
      <c r="AK176" s="366">
        <f>(('Methane Leakage'!$G$6/'Methane Leakage'!$G$5)*102*'Emissions Factors'!$D$10*'Calcs - Power'!$B175+'Emissions Factors'!$D$11*('Calcs - Power'!$C175+'Calcs - Power'!$D175+'Calcs - Power'!$E175+'Calcs - Power'!$F175))</f>
        <v>514009.16770910326</v>
      </c>
      <c r="AL176" s="359">
        <f>(102*'Emissions Factors'!$E$10*'Calcs - Power'!$G175+'Emissions Factors'!$E$11*('Calcs - Power'!H175+'Calcs - Power'!I175+'Calcs - Power'!J175+'Calcs - Power'!K175))</f>
        <v>6120.2351350254967</v>
      </c>
      <c r="AM176" s="366">
        <f>(102*'Emissions Factors'!$E$10*'Calcs - Power'!$B175+'Emissions Factors'!$E$11*('Calcs - Power'!C175+'Calcs - Power'!D175+'Calcs - Power'!E175+'Calcs - Power'!F175))</f>
        <v>576900.21151757415</v>
      </c>
      <c r="AN176" s="359">
        <f>(102*'Emissions Factors'!$D$10*'Calcs - Power'!$G175+'Emissions Factors'!$D$11*('Calcs - Power'!$H175+'Calcs - Power'!$I175+'Calcs - Power'!$J175+'Calcs - Power'!$K175))</f>
        <v>5065.8031403698033</v>
      </c>
      <c r="AO176" s="366">
        <f>(102*'Emissions Factors'!$D$10*'Calcs - Power'!$B175+'Emissions Factors'!$D$11*('Calcs - Power'!$C175+'Calcs - Power'!$D175+'Calcs - Power'!$E175+'Calcs - Power'!$F175))</f>
        <v>514009.16770910326</v>
      </c>
      <c r="AP176" s="367">
        <f>(102*'Emissions Factors'!$E$10*'Calcs - Power'!$G175+'Emissions Factors'!$E$11*('Calcs - Power'!H175+'Calcs - Power'!I175+'Calcs - Power'!J175+'Calcs - Power'!K175))</f>
        <v>6120.2351350254967</v>
      </c>
      <c r="AQ176" s="366">
        <f>(102*'Emissions Factors'!$E$10*'Calcs - Power'!$B175+'Emissions Factors'!$E$11*('Calcs - Power'!C175+'Calcs - Power'!D175+'Calcs - Power'!E175+'Calcs - Power'!F175))</f>
        <v>576900.21151757415</v>
      </c>
      <c r="AS176" s="357"/>
      <c r="AT176" s="357"/>
      <c r="AU176" s="357"/>
      <c r="AV176" s="357"/>
      <c r="AX176" s="358">
        <f t="shared" si="33"/>
        <v>164</v>
      </c>
      <c r="AY176" s="359">
        <f>(('Methane Leakage'!$G$6/'Methane Leakage'!$G$5)*102*'Emissions Factors'!$F$10*'Calcs - Power'!$G175+'Emissions Factors'!$F$11*('Calcs - Power'!$H175+'Calcs - Power'!$I175+'Calcs - Power'!$J175+'Calcs - Power'!$K175))</f>
        <v>6995603.5913538942</v>
      </c>
      <c r="AZ176" s="366">
        <f>(('Methane Leakage'!$G$6/'Methane Leakage'!$G$5)*102*'Emissions Factors'!$F$10*'Calcs - Power'!$B175+'Emissions Factors'!$F$11*('Calcs - Power'!$C175+'Calcs - Power'!$D175+'Calcs - Power'!$E175+'Calcs - Power'!$F175))</f>
        <v>694378292.56975341</v>
      </c>
      <c r="BA176" s="359">
        <f>(102*'Emissions Factors'!$G$10*'Calcs - Power'!$G175+'Emissions Factors'!$G$11*('Calcs - Power'!H175+'Calcs - Power'!I175+'Calcs - Power'!J175+'Calcs - Power'!K175))</f>
        <v>7072493.69209057</v>
      </c>
      <c r="BB176" s="366">
        <f>(102*'Emissions Factors'!$G$10*'Calcs - Power'!$B175+'Emissions Factors'!$G$11*('Calcs - Power'!C175+'Calcs - Power'!D175+'Calcs - Power'!E175+'Calcs - Power'!F175))</f>
        <v>665070626.43491328</v>
      </c>
      <c r="BC176" s="359">
        <f>(102*'Emissions Factors'!$F$10*'Calcs - Power'!$G175+'Emissions Factors'!$F$11*('Calcs - Power'!$H175+'Calcs - Power'!$I175+'Calcs - Power'!$J175+'Calcs - Power'!$K175))</f>
        <v>6995603.5913538942</v>
      </c>
      <c r="BD176" s="366">
        <f>(102*'Emissions Factors'!$F$10*'Calcs - Power'!$B175+'Emissions Factors'!$F$11*('Calcs - Power'!$C175+'Calcs - Power'!$D175+'Calcs - Power'!$E175+'Calcs - Power'!$F175))</f>
        <v>694378292.56975341</v>
      </c>
      <c r="BE176" s="359">
        <f>(102*'Emissions Factors'!$G$10*'Calcs - Power'!$G175+'Emissions Factors'!$G$11*('Calcs - Power'!H175+'Calcs - Power'!I175+'Calcs - Power'!J175+'Calcs - Power'!K175))</f>
        <v>7072493.69209057</v>
      </c>
      <c r="BF176" s="366">
        <f>(102*'Emissions Factors'!$G$10*'Calcs - Power'!$B175+'Emissions Factors'!$G$11*('Calcs - Power'!C175+'Calcs - Power'!D175+'Calcs - Power'!E175+'Calcs - Power'!F175))</f>
        <v>665070626.43491328</v>
      </c>
    </row>
    <row r="177" spans="1:58" x14ac:dyDescent="0.3">
      <c r="A177" s="351">
        <f t="shared" si="30"/>
        <v>165</v>
      </c>
      <c r="B177" s="352">
        <f t="shared" si="24"/>
        <v>1</v>
      </c>
      <c r="C177" s="363">
        <f t="shared" si="25"/>
        <v>0.99999999999999989</v>
      </c>
      <c r="D177" s="352">
        <f t="shared" si="26"/>
        <v>1</v>
      </c>
      <c r="E177" s="364">
        <f t="shared" si="27"/>
        <v>1</v>
      </c>
      <c r="F177" s="364">
        <f t="shared" si="28"/>
        <v>1</v>
      </c>
      <c r="G177" s="365">
        <f t="shared" si="29"/>
        <v>1</v>
      </c>
      <c r="P177" s="358">
        <f t="shared" si="31"/>
        <v>165</v>
      </c>
      <c r="Q177" s="359">
        <f>(('Methane Leakage'!$C$6/'Methane Leakage'!$C$5)*102*'Emissions Factors'!$C$38*'Calcs - Power'!$G176+'Emissions Factors'!$C$37*('Calcs - Power'!$H176+'Calcs - Power'!$I176+'Calcs - Power'!$J176+'Calcs - Power'!$K176))</f>
        <v>37252.543642857047</v>
      </c>
      <c r="R177" s="366">
        <f>(('Methane Leakage'!$C$6/'Methane Leakage'!$C$5)*102*'Emissions Factors'!$C$38*'Calcs - Power'!$B176+'Emissions Factors'!$C$37*('Calcs - Power'!$C176+'Calcs - Power'!$D176+'Calcs - Power'!$E176+'Calcs - Power'!$F176))</f>
        <v>3724710.2869247152</v>
      </c>
      <c r="S177" s="359">
        <f>(('Methane Leakage'!$C$6/'Methane Leakage'!$C$5)*102*'Emissions Factors'!$D$38*'Calcs - Power'!$G176+'Emissions Factors'!$D$37*('Calcs - Power'!$H176+'Calcs - Power'!$I176+'Calcs - Power'!$J176+'Calcs - Power'!$K176))</f>
        <v>37252.543642857047</v>
      </c>
      <c r="T177" s="366">
        <f>(('Methane Leakage'!$C$6/'Methane Leakage'!$C$5)*102*'Emissions Factors'!$D$38*'Calcs - Power'!$B176+'Emissions Factors'!$D$37*('Calcs - Power'!$C176+'Calcs - Power'!$D176+'Calcs - Power'!$E176+'Calcs - Power'!$F176))</f>
        <v>3724710.2869247152</v>
      </c>
      <c r="U177" s="361">
        <f>(102*'Emissions Factors'!$C$36*'Calcs - Power'!$G176+'Emissions Factors'!$C$35*('Calcs - Power'!$H176+'Calcs - Power'!$I176+'Calcs - Power'!$J176+'Calcs - Power'!$K176))</f>
        <v>69115.704930928274</v>
      </c>
      <c r="V177" s="366">
        <f>(102*'Emissions Factors'!$C$36*'Calcs - Power'!$B176+'Emissions Factors'!$C$35*('Calcs - Power'!$C176+'Calcs - Power'!$D176+'Calcs - Power'!$E176+'Calcs - Power'!$F176))</f>
        <v>6525256.7898869207</v>
      </c>
      <c r="W177" s="359">
        <f>(102*'Emissions Factors'!$D$36*'Calcs - Power'!$G176+'Emissions Factors'!$D$35*('Calcs - Power'!$H176+'Calcs - Power'!$I176+'Calcs - Power'!$J176+'Calcs - Power'!$K176))</f>
        <v>69115.704930928274</v>
      </c>
      <c r="X177" s="366">
        <f>(102*'Emissions Factors'!$D$36*'Calcs - Power'!$B176+'Emissions Factors'!$D$35*('Calcs - Power'!$C176+'Calcs - Power'!$D176+'Calcs - Power'!$E176+'Calcs - Power'!$F176))</f>
        <v>6525256.7898869207</v>
      </c>
      <c r="Y177" s="359">
        <f>(102*'Emissions Factors'!$C$38*'Calcs - Power'!$G176+'Emissions Factors'!$C$37*('Calcs - Power'!$H176+'Calcs - Power'!$I176+'Calcs - Power'!$J176+'Calcs - Power'!$K176))</f>
        <v>37252.543642857047</v>
      </c>
      <c r="Z177" s="366">
        <f>(102*'Emissions Factors'!$C$38*'Calcs - Power'!$B176+'Emissions Factors'!$C$37*('Calcs - Power'!$C176+'Calcs - Power'!$D176+'Calcs - Power'!$E176+'Calcs - Power'!$F176))</f>
        <v>3724710.2869247152</v>
      </c>
      <c r="AA177" s="359">
        <f>(102*'Emissions Factors'!$C$36*'Calcs - Power'!$G176+'Emissions Factors'!$C$35*('Calcs - Power'!$H176+'Calcs - Power'!$I176+'Calcs - Power'!$J176+'Calcs - Power'!$K176))</f>
        <v>69115.704930928274</v>
      </c>
      <c r="AB177" s="366">
        <f>(102*'Emissions Factors'!$C$36*'Calcs - Power'!$B176+'Emissions Factors'!$C$35*('Calcs - Power'!$C176+'Calcs - Power'!$D176+'Calcs - Power'!$E176+'Calcs - Power'!$F176))</f>
        <v>6525256.7898869207</v>
      </c>
      <c r="AI177" s="358">
        <f t="shared" si="32"/>
        <v>165</v>
      </c>
      <c r="AJ177" s="359">
        <f>(('Methane Leakage'!$G$6/'Methane Leakage'!$G$5)*102*'Emissions Factors'!$D$10*'Calcs - Power'!$G176+'Emissions Factors'!$D$11*('Calcs - Power'!$H176+'Calcs - Power'!$I176+'Calcs - Power'!$J176+'Calcs - Power'!$K176))</f>
        <v>5085.6027598402989</v>
      </c>
      <c r="AK177" s="366">
        <f>(('Methane Leakage'!$G$6/'Methane Leakage'!$G$5)*102*'Emissions Factors'!$D$10*'Calcs - Power'!$B176+'Emissions Factors'!$D$11*('Calcs - Power'!$C176+'Calcs - Power'!$D176+'Calcs - Power'!$E176+'Calcs - Power'!$F176))</f>
        <v>519084.87368322932</v>
      </c>
      <c r="AL177" s="359">
        <f>(102*'Emissions Factors'!$E$10*'Calcs - Power'!$G176+'Emissions Factors'!$E$11*('Calcs - Power'!H176+'Calcs - Power'!I176+'Calcs - Power'!J176+'Calcs - Power'!K176))</f>
        <v>6147.5666615045157</v>
      </c>
      <c r="AM177" s="366">
        <f>(102*'Emissions Factors'!$E$10*'Calcs - Power'!$B176+'Emissions Factors'!$E$11*('Calcs - Power'!C176+'Calcs - Power'!D176+'Calcs - Power'!E176+'Calcs - Power'!F176))</f>
        <v>583034.11658966797</v>
      </c>
      <c r="AN177" s="359">
        <f>(102*'Emissions Factors'!$D$10*'Calcs - Power'!$G176+'Emissions Factors'!$D$11*('Calcs - Power'!$H176+'Calcs - Power'!$I176+'Calcs - Power'!$J176+'Calcs - Power'!$K176))</f>
        <v>5085.6027598402989</v>
      </c>
      <c r="AO177" s="366">
        <f>(102*'Emissions Factors'!$D$10*'Calcs - Power'!$B176+'Emissions Factors'!$D$11*('Calcs - Power'!$C176+'Calcs - Power'!$D176+'Calcs - Power'!$E176+'Calcs - Power'!$F176))</f>
        <v>519084.87368322932</v>
      </c>
      <c r="AP177" s="367">
        <f>(102*'Emissions Factors'!$E$10*'Calcs - Power'!$G176+'Emissions Factors'!$E$11*('Calcs - Power'!H176+'Calcs - Power'!I176+'Calcs - Power'!J176+'Calcs - Power'!K176))</f>
        <v>6147.5666615045157</v>
      </c>
      <c r="AQ177" s="366">
        <f>(102*'Emissions Factors'!$E$10*'Calcs - Power'!$B176+'Emissions Factors'!$E$11*('Calcs - Power'!C176+'Calcs - Power'!D176+'Calcs - Power'!E176+'Calcs - Power'!F176))</f>
        <v>583034.11658966797</v>
      </c>
      <c r="AS177" s="357"/>
      <c r="AT177" s="357"/>
      <c r="AU177" s="357"/>
      <c r="AV177" s="357"/>
      <c r="AX177" s="358">
        <f t="shared" si="33"/>
        <v>165</v>
      </c>
      <c r="AY177" s="359">
        <f>(('Methane Leakage'!$G$6/'Methane Leakage'!$G$5)*102*'Emissions Factors'!$F$10*'Calcs - Power'!$G176+'Emissions Factors'!$F$11*('Calcs - Power'!$H176+'Calcs - Power'!$I176+'Calcs - Power'!$J176+'Calcs - Power'!$K176))</f>
        <v>7024140.0440990021</v>
      </c>
      <c r="AZ177" s="366">
        <f>(('Methane Leakage'!$G$6/'Methane Leakage'!$G$5)*102*'Emissions Factors'!$F$10*'Calcs - Power'!$B176+'Emissions Factors'!$F$11*('Calcs - Power'!$C176+'Calcs - Power'!$D176+'Calcs - Power'!$E176+'Calcs - Power'!$F176))</f>
        <v>701388168.74569583</v>
      </c>
      <c r="BA177" s="359">
        <f>(102*'Emissions Factors'!$G$10*'Calcs - Power'!$G176+'Emissions Factors'!$G$11*('Calcs - Power'!H176+'Calcs - Power'!I176+'Calcs - Power'!J176+'Calcs - Power'!K176))</f>
        <v>7104200.7968187798</v>
      </c>
      <c r="BB177" s="366">
        <f>(102*'Emissions Factors'!$G$10*'Calcs - Power'!$B176+'Emissions Factors'!$G$11*('Calcs - Power'!C176+'Calcs - Power'!D176+'Calcs - Power'!E176+'Calcs - Power'!F176))</f>
        <v>672158978.52137899</v>
      </c>
      <c r="BC177" s="359">
        <f>(102*'Emissions Factors'!$F$10*'Calcs - Power'!$G176+'Emissions Factors'!$F$11*('Calcs - Power'!$H176+'Calcs - Power'!$I176+'Calcs - Power'!$J176+'Calcs - Power'!$K176))</f>
        <v>7024140.0440990021</v>
      </c>
      <c r="BD177" s="366">
        <f>(102*'Emissions Factors'!$F$10*'Calcs - Power'!$B176+'Emissions Factors'!$F$11*('Calcs - Power'!$C176+'Calcs - Power'!$D176+'Calcs - Power'!$E176+'Calcs - Power'!$F176))</f>
        <v>701388168.74569583</v>
      </c>
      <c r="BE177" s="359">
        <f>(102*'Emissions Factors'!$G$10*'Calcs - Power'!$G176+'Emissions Factors'!$G$11*('Calcs - Power'!H176+'Calcs - Power'!I176+'Calcs - Power'!J176+'Calcs - Power'!K176))</f>
        <v>7104200.7968187798</v>
      </c>
      <c r="BF177" s="366">
        <f>(102*'Emissions Factors'!$G$10*'Calcs - Power'!$B176+'Emissions Factors'!$G$11*('Calcs - Power'!C176+'Calcs - Power'!D176+'Calcs - Power'!E176+'Calcs - Power'!F176))</f>
        <v>672158978.52137899</v>
      </c>
    </row>
    <row r="178" spans="1:58" x14ac:dyDescent="0.3">
      <c r="A178" s="351">
        <f t="shared" si="30"/>
        <v>166</v>
      </c>
      <c r="B178" s="352">
        <f t="shared" si="24"/>
        <v>1</v>
      </c>
      <c r="C178" s="363">
        <f t="shared" si="25"/>
        <v>0.99999999999999978</v>
      </c>
      <c r="D178" s="352">
        <f t="shared" si="26"/>
        <v>1</v>
      </c>
      <c r="E178" s="364">
        <f t="shared" si="27"/>
        <v>1</v>
      </c>
      <c r="F178" s="364">
        <f t="shared" si="28"/>
        <v>1</v>
      </c>
      <c r="G178" s="365">
        <f t="shared" si="29"/>
        <v>1</v>
      </c>
      <c r="P178" s="358">
        <f t="shared" si="31"/>
        <v>166</v>
      </c>
      <c r="Q178" s="359">
        <f>(('Methane Leakage'!$C$6/'Methane Leakage'!$C$5)*102*'Emissions Factors'!$C$38*'Calcs - Power'!$G177+'Emissions Factors'!$C$37*('Calcs - Power'!$H177+'Calcs - Power'!$I177+'Calcs - Power'!$J177+'Calcs - Power'!$K177))</f>
        <v>37403.236648666491</v>
      </c>
      <c r="R178" s="366">
        <f>(('Methane Leakage'!$C$6/'Methane Leakage'!$C$5)*102*'Emissions Factors'!$C$38*'Calcs - Power'!$B177+'Emissions Factors'!$C$37*('Calcs - Power'!$C177+'Calcs - Power'!$D177+'Calcs - Power'!$E177+'Calcs - Power'!$F177))</f>
        <v>3762038.1999893356</v>
      </c>
      <c r="S178" s="359">
        <f>(('Methane Leakage'!$C$6/'Methane Leakage'!$C$5)*102*'Emissions Factors'!$D$38*'Calcs - Power'!$G177+'Emissions Factors'!$D$37*('Calcs - Power'!$H177+'Calcs - Power'!$I177+'Calcs - Power'!$J177+'Calcs - Power'!$K177))</f>
        <v>37403.236648666491</v>
      </c>
      <c r="T178" s="366">
        <f>(('Methane Leakage'!$C$6/'Methane Leakage'!$C$5)*102*'Emissions Factors'!$D$38*'Calcs - Power'!$B177+'Emissions Factors'!$D$37*('Calcs - Power'!$C177+'Calcs - Power'!$D177+'Calcs - Power'!$E177+'Calcs - Power'!$F177))</f>
        <v>3762038.1999893356</v>
      </c>
      <c r="U178" s="361">
        <f>(102*'Emissions Factors'!$C$36*'Calcs - Power'!$G177+'Emissions Factors'!$C$35*('Calcs - Power'!$H177+'Calcs - Power'!$I177+'Calcs - Power'!$J177+'Calcs - Power'!$K177))</f>
        <v>69424.689109545972</v>
      </c>
      <c r="V178" s="366">
        <f>(102*'Emissions Factors'!$C$36*'Calcs - Power'!$B177+'Emissions Factors'!$C$35*('Calcs - Power'!$C177+'Calcs - Power'!$D177+'Calcs - Power'!$E177+'Calcs - Power'!$F177))</f>
        <v>6594527.0338962628</v>
      </c>
      <c r="W178" s="359">
        <f>(102*'Emissions Factors'!$D$36*'Calcs - Power'!$G177+'Emissions Factors'!$D$35*('Calcs - Power'!$H177+'Calcs - Power'!$I177+'Calcs - Power'!$J177+'Calcs - Power'!$K177))</f>
        <v>69424.689109545972</v>
      </c>
      <c r="X178" s="366">
        <f>(102*'Emissions Factors'!$D$36*'Calcs - Power'!$B177+'Emissions Factors'!$D$35*('Calcs - Power'!$C177+'Calcs - Power'!$D177+'Calcs - Power'!$E177+'Calcs - Power'!$F177))</f>
        <v>6594527.0338962628</v>
      </c>
      <c r="Y178" s="359">
        <f>(102*'Emissions Factors'!$C$38*'Calcs - Power'!$G177+'Emissions Factors'!$C$37*('Calcs - Power'!$H177+'Calcs - Power'!$I177+'Calcs - Power'!$J177+'Calcs - Power'!$K177))</f>
        <v>37403.236648666491</v>
      </c>
      <c r="Z178" s="366">
        <f>(102*'Emissions Factors'!$C$38*'Calcs - Power'!$B177+'Emissions Factors'!$C$37*('Calcs - Power'!$C177+'Calcs - Power'!$D177+'Calcs - Power'!$E177+'Calcs - Power'!$F177))</f>
        <v>3762038.1999893356</v>
      </c>
      <c r="AA178" s="359">
        <f>(102*'Emissions Factors'!$C$36*'Calcs - Power'!$G177+'Emissions Factors'!$C$35*('Calcs - Power'!$H177+'Calcs - Power'!$I177+'Calcs - Power'!$J177+'Calcs - Power'!$K177))</f>
        <v>69424.689109545972</v>
      </c>
      <c r="AB178" s="366">
        <f>(102*'Emissions Factors'!$C$36*'Calcs - Power'!$B177+'Emissions Factors'!$C$35*('Calcs - Power'!$C177+'Calcs - Power'!$D177+'Calcs - Power'!$E177+'Calcs - Power'!$F177))</f>
        <v>6594527.0338962628</v>
      </c>
      <c r="AI178" s="358">
        <f t="shared" si="32"/>
        <v>166</v>
      </c>
      <c r="AJ178" s="359">
        <f>(('Methane Leakage'!$G$6/'Methane Leakage'!$G$5)*102*'Emissions Factors'!$D$10*'Calcs - Power'!$G177+'Emissions Factors'!$D$11*('Calcs - Power'!$H177+'Calcs - Power'!$I177+'Calcs - Power'!$J177+'Calcs - Power'!$K177))</f>
        <v>5105.366199704531</v>
      </c>
      <c r="AK178" s="366">
        <f>(('Methane Leakage'!$G$6/'Methane Leakage'!$G$5)*102*'Emissions Factors'!$D$10*'Calcs - Power'!$B177+'Emissions Factors'!$D$11*('Calcs - Power'!$C177+'Calcs - Power'!$D177+'Calcs - Power'!$E177+'Calcs - Power'!$F177))</f>
        <v>524180.36116893386</v>
      </c>
      <c r="AL178" s="359">
        <f>(102*'Emissions Factors'!$E$10*'Calcs - Power'!$G177+'Emissions Factors'!$E$11*('Calcs - Power'!H177+'Calcs - Power'!I177+'Calcs - Power'!J177+'Calcs - Power'!K177))</f>
        <v>6174.8482517404664</v>
      </c>
      <c r="AM178" s="366">
        <f>(102*'Emissions Factors'!$E$10*'Calcs - Power'!$B177+'Emissions Factors'!$E$11*('Calcs - Power'!C177+'Calcs - Power'!D177+'Calcs - Power'!E177+'Calcs - Power'!F177))</f>
        <v>589195.32819519425</v>
      </c>
      <c r="AN178" s="359">
        <f>(102*'Emissions Factors'!$D$10*'Calcs - Power'!$G177+'Emissions Factors'!$D$11*('Calcs - Power'!$H177+'Calcs - Power'!$I177+'Calcs - Power'!$J177+'Calcs - Power'!$K177))</f>
        <v>5105.366199704531</v>
      </c>
      <c r="AO178" s="366">
        <f>(102*'Emissions Factors'!$D$10*'Calcs - Power'!$B177+'Emissions Factors'!$D$11*('Calcs - Power'!$C177+'Calcs - Power'!$D177+'Calcs - Power'!$E177+'Calcs - Power'!$F177))</f>
        <v>524180.36116893386</v>
      </c>
      <c r="AP178" s="367">
        <f>(102*'Emissions Factors'!$E$10*'Calcs - Power'!$G177+'Emissions Factors'!$E$11*('Calcs - Power'!H177+'Calcs - Power'!I177+'Calcs - Power'!J177+'Calcs - Power'!K177))</f>
        <v>6174.8482517404664</v>
      </c>
      <c r="AQ178" s="366">
        <f>(102*'Emissions Factors'!$E$10*'Calcs - Power'!$B177+'Emissions Factors'!$E$11*('Calcs - Power'!C177+'Calcs - Power'!D177+'Calcs - Power'!E177+'Calcs - Power'!F177))</f>
        <v>589195.32819519425</v>
      </c>
      <c r="AS178" s="357"/>
      <c r="AT178" s="357"/>
      <c r="AU178" s="357"/>
      <c r="AV178" s="357"/>
      <c r="AX178" s="358">
        <f t="shared" si="33"/>
        <v>166</v>
      </c>
      <c r="AY178" s="359">
        <f>(('Methane Leakage'!$G$6/'Methane Leakage'!$G$5)*102*'Emissions Factors'!$F$10*'Calcs - Power'!$G177+'Emissions Factors'!$F$11*('Calcs - Power'!$H177+'Calcs - Power'!$I177+'Calcs - Power'!$J177+'Calcs - Power'!$K177))</f>
        <v>7052624.35474269</v>
      </c>
      <c r="AZ178" s="366">
        <f>(('Methane Leakage'!$G$6/'Methane Leakage'!$G$5)*102*'Emissions Factors'!$F$10*'Calcs - Power'!$B177+'Emissions Factors'!$F$11*('Calcs - Power'!$C177+'Calcs - Power'!$D177+'Calcs - Power'!$E177+'Calcs - Power'!$F177))</f>
        <v>708426555.27727771</v>
      </c>
      <c r="BA178" s="359">
        <f>(102*'Emissions Factors'!$G$10*'Calcs - Power'!$G177+'Emissions Factors'!$G$11*('Calcs - Power'!H177+'Calcs - Power'!I177+'Calcs - Power'!J177+'Calcs - Power'!K177))</f>
        <v>7135849.9710749444</v>
      </c>
      <c r="BB178" s="366">
        <f>(102*'Emissions Factors'!$G$10*'Calcs - Power'!$B177+'Emissions Factors'!$G$11*('Calcs - Power'!C177+'Calcs - Power'!D177+'Calcs - Power'!E177+'Calcs - Power'!F177))</f>
        <v>679279008.71842289</v>
      </c>
      <c r="BC178" s="359">
        <f>(102*'Emissions Factors'!$F$10*'Calcs - Power'!$G177+'Emissions Factors'!$F$11*('Calcs - Power'!$H177+'Calcs - Power'!$I177+'Calcs - Power'!$J177+'Calcs - Power'!$K177))</f>
        <v>7052624.35474269</v>
      </c>
      <c r="BD178" s="366">
        <f>(102*'Emissions Factors'!$F$10*'Calcs - Power'!$B177+'Emissions Factors'!$F$11*('Calcs - Power'!$C177+'Calcs - Power'!$D177+'Calcs - Power'!$E177+'Calcs - Power'!$F177))</f>
        <v>708426555.27727771</v>
      </c>
      <c r="BE178" s="359">
        <f>(102*'Emissions Factors'!$G$10*'Calcs - Power'!$G177+'Emissions Factors'!$G$11*('Calcs - Power'!H177+'Calcs - Power'!I177+'Calcs - Power'!J177+'Calcs - Power'!K177))</f>
        <v>7135849.9710749444</v>
      </c>
      <c r="BF178" s="366">
        <f>(102*'Emissions Factors'!$G$10*'Calcs - Power'!$B177+'Emissions Factors'!$G$11*('Calcs - Power'!C177+'Calcs - Power'!D177+'Calcs - Power'!E177+'Calcs - Power'!F177))</f>
        <v>679279008.71842289</v>
      </c>
    </row>
    <row r="179" spans="1:58" x14ac:dyDescent="0.3">
      <c r="A179" s="351">
        <f t="shared" si="30"/>
        <v>167</v>
      </c>
      <c r="B179" s="352">
        <f t="shared" si="24"/>
        <v>1</v>
      </c>
      <c r="C179" s="363">
        <f t="shared" si="25"/>
        <v>0.99999999999999989</v>
      </c>
      <c r="D179" s="352">
        <f t="shared" si="26"/>
        <v>1</v>
      </c>
      <c r="E179" s="364">
        <f t="shared" si="27"/>
        <v>1</v>
      </c>
      <c r="F179" s="364">
        <f t="shared" si="28"/>
        <v>1</v>
      </c>
      <c r="G179" s="365">
        <f t="shared" si="29"/>
        <v>1</v>
      </c>
      <c r="P179" s="358">
        <f t="shared" si="31"/>
        <v>167</v>
      </c>
      <c r="Q179" s="359">
        <f>(('Methane Leakage'!$C$6/'Methane Leakage'!$C$5)*102*'Emissions Factors'!$C$38*'Calcs - Power'!$G178+'Emissions Factors'!$C$37*('Calcs - Power'!$H178+'Calcs - Power'!$I178+'Calcs - Power'!$J178+'Calcs - Power'!$K178))</f>
        <v>37553.655449758502</v>
      </c>
      <c r="R179" s="366">
        <f>(('Methane Leakage'!$C$6/'Methane Leakage'!$C$5)*102*'Emissions Factors'!$C$38*'Calcs - Power'!$B178+'Emissions Factors'!$C$37*('Calcs - Power'!$C178+'Calcs - Power'!$D178+'Calcs - Power'!$E178+'Calcs - Power'!$F178))</f>
        <v>3799516.6688206154</v>
      </c>
      <c r="S179" s="359">
        <f>(('Methane Leakage'!$C$6/'Methane Leakage'!$C$5)*102*'Emissions Factors'!$D$38*'Calcs - Power'!$G178+'Emissions Factors'!$D$37*('Calcs - Power'!$H178+'Calcs - Power'!$I178+'Calcs - Power'!$J178+'Calcs - Power'!$K178))</f>
        <v>37553.655449758502</v>
      </c>
      <c r="T179" s="366">
        <f>(('Methane Leakage'!$C$6/'Methane Leakage'!$C$5)*102*'Emissions Factors'!$D$38*'Calcs - Power'!$B178+'Emissions Factors'!$D$37*('Calcs - Power'!$C178+'Calcs - Power'!$D178+'Calcs - Power'!$E178+'Calcs - Power'!$F178))</f>
        <v>3799516.6688206154</v>
      </c>
      <c r="U179" s="361">
        <f>(102*'Emissions Factors'!$C$36*'Calcs - Power'!$G178+'Emissions Factors'!$C$35*('Calcs - Power'!$H178+'Calcs - Power'!$I178+'Calcs - Power'!$J178+'Calcs - Power'!$K178))</f>
        <v>69733.111101395814</v>
      </c>
      <c r="V179" s="366">
        <f>(102*'Emissions Factors'!$C$36*'Calcs - Power'!$B178+'Emissions Factors'!$C$35*('Calcs - Power'!$C178+'Calcs - Power'!$D178+'Calcs - Power'!$E178+'Calcs - Power'!$F178))</f>
        <v>6664105.9807107048</v>
      </c>
      <c r="W179" s="359">
        <f>(102*'Emissions Factors'!$D$36*'Calcs - Power'!$G178+'Emissions Factors'!$D$35*('Calcs - Power'!$H178+'Calcs - Power'!$I178+'Calcs - Power'!$J178+'Calcs - Power'!$K178))</f>
        <v>69733.111101395814</v>
      </c>
      <c r="X179" s="366">
        <f>(102*'Emissions Factors'!$D$36*'Calcs - Power'!$B178+'Emissions Factors'!$D$35*('Calcs - Power'!$C178+'Calcs - Power'!$D178+'Calcs - Power'!$E178+'Calcs - Power'!$F178))</f>
        <v>6664105.9807107048</v>
      </c>
      <c r="Y179" s="359">
        <f>(102*'Emissions Factors'!$C$38*'Calcs - Power'!$G178+'Emissions Factors'!$C$37*('Calcs - Power'!$H178+'Calcs - Power'!$I178+'Calcs - Power'!$J178+'Calcs - Power'!$K178))</f>
        <v>37553.655449758502</v>
      </c>
      <c r="Z179" s="366">
        <f>(102*'Emissions Factors'!$C$38*'Calcs - Power'!$B178+'Emissions Factors'!$C$37*('Calcs - Power'!$C178+'Calcs - Power'!$D178+'Calcs - Power'!$E178+'Calcs - Power'!$F178))</f>
        <v>3799516.6688206154</v>
      </c>
      <c r="AA179" s="359">
        <f>(102*'Emissions Factors'!$C$36*'Calcs - Power'!$G178+'Emissions Factors'!$C$35*('Calcs - Power'!$H178+'Calcs - Power'!$I178+'Calcs - Power'!$J178+'Calcs - Power'!$K178))</f>
        <v>69733.111101395814</v>
      </c>
      <c r="AB179" s="366">
        <f>(102*'Emissions Factors'!$C$36*'Calcs - Power'!$B178+'Emissions Factors'!$C$35*('Calcs - Power'!$C178+'Calcs - Power'!$D178+'Calcs - Power'!$E178+'Calcs - Power'!$F178))</f>
        <v>6664105.9807107048</v>
      </c>
      <c r="AI179" s="358">
        <f t="shared" si="32"/>
        <v>167</v>
      </c>
      <c r="AJ179" s="359">
        <f>(('Methane Leakage'!$G$6/'Methane Leakage'!$G$5)*102*'Emissions Factors'!$D$10*'Calcs - Power'!$G178+'Emissions Factors'!$D$11*('Calcs - Power'!$H178+'Calcs - Power'!$I178+'Calcs - Power'!$J178+'Calcs - Power'!$K178))</f>
        <v>5125.09367619161</v>
      </c>
      <c r="AK179" s="366">
        <f>(('Methane Leakage'!$G$6/'Methane Leakage'!$G$5)*102*'Emissions Factors'!$D$10*'Calcs - Power'!$B178+'Emissions Factors'!$D$11*('Calcs - Power'!$C178+'Calcs - Power'!$D178+'Calcs - Power'!$E178+'Calcs - Power'!$F178))</f>
        <v>529295.59409486444</v>
      </c>
      <c r="AL179" s="359">
        <f>(102*'Emissions Factors'!$E$10*'Calcs - Power'!$G178+'Emissions Factors'!$E$11*('Calcs - Power'!H178+'Calcs - Power'!I178+'Calcs - Power'!J178+'Calcs - Power'!K178))</f>
        <v>6202.0802037006888</v>
      </c>
      <c r="AM179" s="366">
        <f>(102*'Emissions Factors'!$E$10*'Calcs - Power'!$B178+'Emissions Factors'!$E$11*('Calcs - Power'!C178+'Calcs - Power'!D178+'Calcs - Power'!E178+'Calcs - Power'!F178))</f>
        <v>595383.7965470819</v>
      </c>
      <c r="AN179" s="359">
        <f>(102*'Emissions Factors'!$D$10*'Calcs - Power'!$G178+'Emissions Factors'!$D$11*('Calcs - Power'!$H178+'Calcs - Power'!$I178+'Calcs - Power'!$J178+'Calcs - Power'!$K178))</f>
        <v>5125.09367619161</v>
      </c>
      <c r="AO179" s="366">
        <f>(102*'Emissions Factors'!$D$10*'Calcs - Power'!$B178+'Emissions Factors'!$D$11*('Calcs - Power'!$C178+'Calcs - Power'!$D178+'Calcs - Power'!$E178+'Calcs - Power'!$F178))</f>
        <v>529295.59409486444</v>
      </c>
      <c r="AP179" s="367">
        <f>(102*'Emissions Factors'!$E$10*'Calcs - Power'!$G178+'Emissions Factors'!$E$11*('Calcs - Power'!H178+'Calcs - Power'!I178+'Calcs - Power'!J178+'Calcs - Power'!K178))</f>
        <v>6202.0802037006888</v>
      </c>
      <c r="AQ179" s="366">
        <f>(102*'Emissions Factors'!$E$10*'Calcs - Power'!$B178+'Emissions Factors'!$E$11*('Calcs - Power'!C178+'Calcs - Power'!D178+'Calcs - Power'!E178+'Calcs - Power'!F178))</f>
        <v>595383.7965470819</v>
      </c>
      <c r="AS179" s="357"/>
      <c r="AT179" s="357"/>
      <c r="AU179" s="357"/>
      <c r="AV179" s="357"/>
      <c r="AX179" s="358">
        <f t="shared" si="33"/>
        <v>167</v>
      </c>
      <c r="AY179" s="359">
        <f>(('Methane Leakage'!$G$6/'Methane Leakage'!$G$5)*102*'Emissions Factors'!$F$10*'Calcs - Power'!$G178+'Emissions Factors'!$F$11*('Calcs - Power'!$H178+'Calcs - Power'!$I178+'Calcs - Power'!$J178+'Calcs - Power'!$K178))</f>
        <v>7081056.8347469624</v>
      </c>
      <c r="AZ179" s="366">
        <f>(('Methane Leakage'!$G$6/'Methane Leakage'!$G$5)*102*'Emissions Factors'!$F$10*'Calcs - Power'!$B178+'Emissions Factors'!$F$11*('Calcs - Power'!$C178+'Calcs - Power'!$D178+'Calcs - Power'!$E178+'Calcs - Power'!$F178))</f>
        <v>715493400.1783278</v>
      </c>
      <c r="BA179" s="359">
        <f>(102*'Emissions Factors'!$G$10*'Calcs - Power'!$G178+'Emissions Factors'!$G$11*('Calcs - Power'!H178+'Calcs - Power'!I178+'Calcs - Power'!J178+'Calcs - Power'!K178))</f>
        <v>7167441.5605124943</v>
      </c>
      <c r="BB179" s="366">
        <f>(102*'Emissions Factors'!$G$10*'Calcs - Power'!$B178+'Emissions Factors'!$G$11*('Calcs - Power'!C178+'Calcs - Power'!D178+'Calcs - Power'!E178+'Calcs - Power'!F178))</f>
        <v>686430659.26861835</v>
      </c>
      <c r="BC179" s="359">
        <f>(102*'Emissions Factors'!$F$10*'Calcs - Power'!$G178+'Emissions Factors'!$F$11*('Calcs - Power'!$H178+'Calcs - Power'!$I178+'Calcs - Power'!$J178+'Calcs - Power'!$K178))</f>
        <v>7081056.8347469624</v>
      </c>
      <c r="BD179" s="366">
        <f>(102*'Emissions Factors'!$F$10*'Calcs - Power'!$B178+'Emissions Factors'!$F$11*('Calcs - Power'!$C178+'Calcs - Power'!$D178+'Calcs - Power'!$E178+'Calcs - Power'!$F178))</f>
        <v>715493400.1783278</v>
      </c>
      <c r="BE179" s="359">
        <f>(102*'Emissions Factors'!$G$10*'Calcs - Power'!$G178+'Emissions Factors'!$G$11*('Calcs - Power'!H178+'Calcs - Power'!I178+'Calcs - Power'!J178+'Calcs - Power'!K178))</f>
        <v>7167441.5605124943</v>
      </c>
      <c r="BF179" s="366">
        <f>(102*'Emissions Factors'!$G$10*'Calcs - Power'!$B178+'Emissions Factors'!$G$11*('Calcs - Power'!C178+'Calcs - Power'!D178+'Calcs - Power'!E178+'Calcs - Power'!F178))</f>
        <v>686430659.26861835</v>
      </c>
    </row>
    <row r="180" spans="1:58" x14ac:dyDescent="0.3">
      <c r="A180" s="351">
        <f t="shared" si="30"/>
        <v>168</v>
      </c>
      <c r="B180" s="352">
        <f t="shared" si="24"/>
        <v>1</v>
      </c>
      <c r="C180" s="363">
        <f t="shared" si="25"/>
        <v>1</v>
      </c>
      <c r="D180" s="352">
        <f t="shared" si="26"/>
        <v>1</v>
      </c>
      <c r="E180" s="364">
        <f t="shared" si="27"/>
        <v>1</v>
      </c>
      <c r="F180" s="364">
        <f t="shared" si="28"/>
        <v>1</v>
      </c>
      <c r="G180" s="365">
        <f t="shared" si="29"/>
        <v>1</v>
      </c>
      <c r="P180" s="358">
        <f t="shared" si="31"/>
        <v>168</v>
      </c>
      <c r="Q180" s="359">
        <f>(('Methane Leakage'!$C$6/'Methane Leakage'!$C$5)*102*'Emissions Factors'!$C$38*'Calcs - Power'!$G179+'Emissions Factors'!$C$37*('Calcs - Power'!$H179+'Calcs - Power'!$I179+'Calcs - Power'!$J179+'Calcs - Power'!$K179))</f>
        <v>37703.801681382567</v>
      </c>
      <c r="R180" s="366">
        <f>(('Methane Leakage'!$C$6/'Methane Leakage'!$C$5)*102*'Emissions Factors'!$C$38*'Calcs - Power'!$B179+'Emissions Factors'!$C$37*('Calcs - Power'!$C179+'Calcs - Power'!$D179+'Calcs - Power'!$E179+'Calcs - Power'!$F179))</f>
        <v>3837145.4200325003</v>
      </c>
      <c r="S180" s="359">
        <f>(('Methane Leakage'!$C$6/'Methane Leakage'!$C$5)*102*'Emissions Factors'!$D$38*'Calcs - Power'!$G179+'Emissions Factors'!$D$37*('Calcs - Power'!$H179+'Calcs - Power'!$I179+'Calcs - Power'!$J179+'Calcs - Power'!$K179))</f>
        <v>37703.801681382567</v>
      </c>
      <c r="T180" s="366">
        <f>(('Methane Leakage'!$C$6/'Methane Leakage'!$C$5)*102*'Emissions Factors'!$D$38*'Calcs - Power'!$B179+'Emissions Factors'!$D$37*('Calcs - Power'!$C179+'Calcs - Power'!$D179+'Calcs - Power'!$E179+'Calcs - Power'!$F179))</f>
        <v>3837145.4200325003</v>
      </c>
      <c r="U180" s="361">
        <f>(102*'Emissions Factors'!$C$36*'Calcs - Power'!$G179+'Emissions Factors'!$C$35*('Calcs - Power'!$H179+'Calcs - Power'!$I179+'Calcs - Power'!$J179+'Calcs - Power'!$K179))</f>
        <v>70040.974255468813</v>
      </c>
      <c r="V180" s="366">
        <f>(102*'Emissions Factors'!$C$36*'Calcs - Power'!$B179+'Emissions Factors'!$C$35*('Calcs - Power'!$C179+'Calcs - Power'!$D179+'Calcs - Power'!$E179+'Calcs - Power'!$F179))</f>
        <v>6733993.0698200734</v>
      </c>
      <c r="W180" s="359">
        <f>(102*'Emissions Factors'!$D$36*'Calcs - Power'!$G179+'Emissions Factors'!$D$35*('Calcs - Power'!$H179+'Calcs - Power'!$I179+'Calcs - Power'!$J179+'Calcs - Power'!$K179))</f>
        <v>70040.974255468813</v>
      </c>
      <c r="X180" s="366">
        <f>(102*'Emissions Factors'!$D$36*'Calcs - Power'!$B179+'Emissions Factors'!$D$35*('Calcs - Power'!$C179+'Calcs - Power'!$D179+'Calcs - Power'!$E179+'Calcs - Power'!$F179))</f>
        <v>6733993.0698200734</v>
      </c>
      <c r="Y180" s="359">
        <f>(102*'Emissions Factors'!$C$38*'Calcs - Power'!$G179+'Emissions Factors'!$C$37*('Calcs - Power'!$H179+'Calcs - Power'!$I179+'Calcs - Power'!$J179+'Calcs - Power'!$K179))</f>
        <v>37703.801681382567</v>
      </c>
      <c r="Z180" s="366">
        <f>(102*'Emissions Factors'!$C$38*'Calcs - Power'!$B179+'Emissions Factors'!$C$37*('Calcs - Power'!$C179+'Calcs - Power'!$D179+'Calcs - Power'!$E179+'Calcs - Power'!$F179))</f>
        <v>3837145.4200325003</v>
      </c>
      <c r="AA180" s="359">
        <f>(102*'Emissions Factors'!$C$36*'Calcs - Power'!$G179+'Emissions Factors'!$C$35*('Calcs - Power'!$H179+'Calcs - Power'!$I179+'Calcs - Power'!$J179+'Calcs - Power'!$K179))</f>
        <v>70040.974255468813</v>
      </c>
      <c r="AB180" s="366">
        <f>(102*'Emissions Factors'!$C$36*'Calcs - Power'!$B179+'Emissions Factors'!$C$35*('Calcs - Power'!$C179+'Calcs - Power'!$D179+'Calcs - Power'!$E179+'Calcs - Power'!$F179))</f>
        <v>6733993.0698200734</v>
      </c>
      <c r="AI180" s="358">
        <f t="shared" si="32"/>
        <v>168</v>
      </c>
      <c r="AJ180" s="359">
        <f>(('Methane Leakage'!$G$6/'Methane Leakage'!$G$5)*102*'Emissions Factors'!$D$10*'Calcs - Power'!$G179+'Emissions Factors'!$D$11*('Calcs - Power'!$H179+'Calcs - Power'!$I179+'Calcs - Power'!$J179+'Calcs - Power'!$K179))</f>
        <v>5144.785403873997</v>
      </c>
      <c r="AK180" s="366">
        <f>(('Methane Leakage'!$G$6/'Methane Leakage'!$G$5)*102*'Emissions Factors'!$D$10*'Calcs - Power'!$B179+'Emissions Factors'!$D$11*('Calcs - Power'!$C179+'Calcs - Power'!$D179+'Calcs - Power'!$E179+'Calcs - Power'!$F179))</f>
        <v>534430.53660506685</v>
      </c>
      <c r="AL180" s="359">
        <f>(102*'Emissions Factors'!$E$10*'Calcs - Power'!$G179+'Emissions Factors'!$E$11*('Calcs - Power'!H179+'Calcs - Power'!I179+'Calcs - Power'!J179+'Calcs - Power'!K179))</f>
        <v>6229.2628131070614</v>
      </c>
      <c r="AM180" s="366">
        <f>(102*'Emissions Factors'!$E$10*'Calcs - Power'!$B179+'Emissions Factors'!$E$11*('Calcs - Power'!C179+'Calcs - Power'!D179+'Calcs - Power'!E179+'Calcs - Power'!F179))</f>
        <v>601599.47215510218</v>
      </c>
      <c r="AN180" s="359">
        <f>(102*'Emissions Factors'!$D$10*'Calcs - Power'!$G179+'Emissions Factors'!$D$11*('Calcs - Power'!$H179+'Calcs - Power'!$I179+'Calcs - Power'!$J179+'Calcs - Power'!$K179))</f>
        <v>5144.785403873997</v>
      </c>
      <c r="AO180" s="366">
        <f>(102*'Emissions Factors'!$D$10*'Calcs - Power'!$B179+'Emissions Factors'!$D$11*('Calcs - Power'!$C179+'Calcs - Power'!$D179+'Calcs - Power'!$E179+'Calcs - Power'!$F179))</f>
        <v>534430.53660506685</v>
      </c>
      <c r="AP180" s="367">
        <f>(102*'Emissions Factors'!$E$10*'Calcs - Power'!$G179+'Emissions Factors'!$E$11*('Calcs - Power'!H179+'Calcs - Power'!I179+'Calcs - Power'!J179+'Calcs - Power'!K179))</f>
        <v>6229.2628131070614</v>
      </c>
      <c r="AQ180" s="366">
        <f>(102*'Emissions Factors'!$E$10*'Calcs - Power'!$B179+'Emissions Factors'!$E$11*('Calcs - Power'!C179+'Calcs - Power'!D179+'Calcs - Power'!E179+'Calcs - Power'!F179))</f>
        <v>601599.47215510218</v>
      </c>
      <c r="AS180" s="357"/>
      <c r="AT180" s="357"/>
      <c r="AU180" s="357"/>
      <c r="AV180" s="357"/>
      <c r="AX180" s="358">
        <f t="shared" si="33"/>
        <v>168</v>
      </c>
      <c r="AY180" s="359">
        <f>(('Methane Leakage'!$G$6/'Methane Leakage'!$G$5)*102*'Emissions Factors'!$F$10*'Calcs - Power'!$G179+'Emissions Factors'!$F$11*('Calcs - Power'!$H179+'Calcs - Power'!$I179+'Calcs - Power'!$J179+'Calcs - Power'!$K179))</f>
        <v>7109437.793200653</v>
      </c>
      <c r="AZ180" s="366">
        <f>(('Methane Leakage'!$G$6/'Methane Leakage'!$G$5)*102*'Emissions Factors'!$F$10*'Calcs - Power'!$B179+'Emissions Factors'!$F$11*('Calcs - Power'!$C179+'Calcs - Power'!$D179+'Calcs - Power'!$E179+'Calcs - Power'!$F179))</f>
        <v>722588651.77294731</v>
      </c>
      <c r="BA180" s="359">
        <f>(102*'Emissions Factors'!$G$10*'Calcs - Power'!$G179+'Emissions Factors'!$G$11*('Calcs - Power'!H179+'Calcs - Power'!I179+'Calcs - Power'!J179+'Calcs - Power'!K179))</f>
        <v>7198975.9081812175</v>
      </c>
      <c r="BB180" s="366">
        <f>(102*'Emissions Factors'!$G$10*'Calcs - Power'!$B179+'Emissions Factors'!$G$11*('Calcs - Power'!C179+'Calcs - Power'!D179+'Calcs - Power'!E179+'Calcs - Power'!F179))</f>
        <v>693613872.75888658</v>
      </c>
      <c r="BC180" s="359">
        <f>(102*'Emissions Factors'!$F$10*'Calcs - Power'!$G179+'Emissions Factors'!$F$11*('Calcs - Power'!$H179+'Calcs - Power'!$I179+'Calcs - Power'!$J179+'Calcs - Power'!$K179))</f>
        <v>7109437.793200653</v>
      </c>
      <c r="BD180" s="366">
        <f>(102*'Emissions Factors'!$F$10*'Calcs - Power'!$B179+'Emissions Factors'!$F$11*('Calcs - Power'!$C179+'Calcs - Power'!$D179+'Calcs - Power'!$E179+'Calcs - Power'!$F179))</f>
        <v>722588651.77294731</v>
      </c>
      <c r="BE180" s="359">
        <f>(102*'Emissions Factors'!$G$10*'Calcs - Power'!$G179+'Emissions Factors'!$G$11*('Calcs - Power'!H179+'Calcs - Power'!I179+'Calcs - Power'!J179+'Calcs - Power'!K179))</f>
        <v>7198975.9081812175</v>
      </c>
      <c r="BF180" s="366">
        <f>(102*'Emissions Factors'!$G$10*'Calcs - Power'!$B179+'Emissions Factors'!$G$11*('Calcs - Power'!C179+'Calcs - Power'!D179+'Calcs - Power'!E179+'Calcs - Power'!F179))</f>
        <v>693613872.75888658</v>
      </c>
    </row>
    <row r="181" spans="1:58" x14ac:dyDescent="0.3">
      <c r="A181" s="351">
        <f t="shared" si="30"/>
        <v>169</v>
      </c>
      <c r="B181" s="352">
        <f t="shared" si="24"/>
        <v>1</v>
      </c>
      <c r="C181" s="363">
        <f t="shared" si="25"/>
        <v>1</v>
      </c>
      <c r="D181" s="352">
        <f t="shared" si="26"/>
        <v>1</v>
      </c>
      <c r="E181" s="364">
        <f t="shared" si="27"/>
        <v>1</v>
      </c>
      <c r="F181" s="364">
        <f t="shared" si="28"/>
        <v>1</v>
      </c>
      <c r="G181" s="365">
        <f t="shared" si="29"/>
        <v>1</v>
      </c>
      <c r="P181" s="358">
        <f t="shared" si="31"/>
        <v>169</v>
      </c>
      <c r="Q181" s="359">
        <f>(('Methane Leakage'!$C$6/'Methane Leakage'!$C$5)*102*'Emissions Factors'!$C$38*'Calcs - Power'!$G180+'Emissions Factors'!$C$37*('Calcs - Power'!$H180+'Calcs - Power'!$I180+'Calcs - Power'!$J180+'Calcs - Power'!$K180))</f>
        <v>37853.676966466883</v>
      </c>
      <c r="R181" s="366">
        <f>(('Methane Leakage'!$C$6/'Methane Leakage'!$C$5)*102*'Emissions Factors'!$C$38*'Calcs - Power'!$B180+'Emissions Factors'!$C$37*('Calcs - Power'!$C180+'Calcs - Power'!$D180+'Calcs - Power'!$E180+'Calcs - Power'!$F180))</f>
        <v>3874924.1818680014</v>
      </c>
      <c r="S181" s="359">
        <f>(('Methane Leakage'!$C$6/'Methane Leakage'!$C$5)*102*'Emissions Factors'!$D$38*'Calcs - Power'!$G180+'Emissions Factors'!$D$37*('Calcs - Power'!$H180+'Calcs - Power'!$I180+'Calcs - Power'!$J180+'Calcs - Power'!$K180))</f>
        <v>37853.676966466883</v>
      </c>
      <c r="T181" s="366">
        <f>(('Methane Leakage'!$C$6/'Methane Leakage'!$C$5)*102*'Emissions Factors'!$D$38*'Calcs - Power'!$B180+'Emissions Factors'!$D$37*('Calcs - Power'!$C180+'Calcs - Power'!$D180+'Calcs - Power'!$E180+'Calcs - Power'!$F180))</f>
        <v>3874924.1818680014</v>
      </c>
      <c r="U181" s="361">
        <f>(102*'Emissions Factors'!$C$36*'Calcs - Power'!$G180+'Emissions Factors'!$C$35*('Calcs - Power'!$H180+'Calcs - Power'!$I180+'Calcs - Power'!$J180+'Calcs - Power'!$K180))</f>
        <v>70348.281895809152</v>
      </c>
      <c r="V181" s="366">
        <f>(102*'Emissions Factors'!$C$36*'Calcs - Power'!$B180+'Emissions Factors'!$C$35*('Calcs - Power'!$C180+'Calcs - Power'!$D180+'Calcs - Power'!$E180+'Calcs - Power'!$F180))</f>
        <v>6804187.7440506695</v>
      </c>
      <c r="W181" s="359">
        <f>(102*'Emissions Factors'!$D$36*'Calcs - Power'!$G180+'Emissions Factors'!$D$35*('Calcs - Power'!$H180+'Calcs - Power'!$I180+'Calcs - Power'!$J180+'Calcs - Power'!$K180))</f>
        <v>70348.281895809152</v>
      </c>
      <c r="X181" s="366">
        <f>(102*'Emissions Factors'!$D$36*'Calcs - Power'!$B180+'Emissions Factors'!$D$35*('Calcs - Power'!$C180+'Calcs - Power'!$D180+'Calcs - Power'!$E180+'Calcs - Power'!$F180))</f>
        <v>6804187.7440506695</v>
      </c>
      <c r="Y181" s="359">
        <f>(102*'Emissions Factors'!$C$38*'Calcs - Power'!$G180+'Emissions Factors'!$C$37*('Calcs - Power'!$H180+'Calcs - Power'!$I180+'Calcs - Power'!$J180+'Calcs - Power'!$K180))</f>
        <v>37853.676966466883</v>
      </c>
      <c r="Z181" s="366">
        <f>(102*'Emissions Factors'!$C$38*'Calcs - Power'!$B180+'Emissions Factors'!$C$37*('Calcs - Power'!$C180+'Calcs - Power'!$D180+'Calcs - Power'!$E180+'Calcs - Power'!$F180))</f>
        <v>3874924.1818680014</v>
      </c>
      <c r="AA181" s="359">
        <f>(102*'Emissions Factors'!$C$36*'Calcs - Power'!$G180+'Emissions Factors'!$C$35*('Calcs - Power'!$H180+'Calcs - Power'!$I180+'Calcs - Power'!$J180+'Calcs - Power'!$K180))</f>
        <v>70348.281895809152</v>
      </c>
      <c r="AB181" s="366">
        <f>(102*'Emissions Factors'!$C$36*'Calcs - Power'!$B180+'Emissions Factors'!$C$35*('Calcs - Power'!$C180+'Calcs - Power'!$D180+'Calcs - Power'!$E180+'Calcs - Power'!$F180))</f>
        <v>6804187.7440506695</v>
      </c>
      <c r="AI181" s="358">
        <f t="shared" si="32"/>
        <v>169</v>
      </c>
      <c r="AJ181" s="359">
        <f>(('Methane Leakage'!$G$6/'Methane Leakage'!$G$5)*102*'Emissions Factors'!$D$10*'Calcs - Power'!$G180+'Emissions Factors'!$D$11*('Calcs - Power'!$H180+'Calcs - Power'!$I180+'Calcs - Power'!$J180+'Calcs - Power'!$K180))</f>
        <v>5164.4415956994862</v>
      </c>
      <c r="AK181" s="366">
        <f>(('Methane Leakage'!$G$6/'Methane Leakage'!$G$5)*102*'Emissions Factors'!$D$10*'Calcs - Power'!$B180+'Emissions Factors'!$D$11*('Calcs - Power'!$C180+'Calcs - Power'!$D180+'Calcs - Power'!$E180+'Calcs - Power'!$F180))</f>
        <v>539585.15305734449</v>
      </c>
      <c r="AL181" s="359">
        <f>(102*'Emissions Factors'!$E$10*'Calcs - Power'!$G180+'Emissions Factors'!$E$11*('Calcs - Power'!H180+'Calcs - Power'!I180+'Calcs - Power'!J180+'Calcs - Power'!K180))</f>
        <v>6256.3963734768304</v>
      </c>
      <c r="AM181" s="366">
        <f>(102*'Emissions Factors'!$E$10*'Calcs - Power'!$B180+'Emissions Factors'!$E$11*('Calcs - Power'!C180+'Calcs - Power'!D180+'Calcs - Power'!E180+'Calcs - Power'!F180))</f>
        <v>607842.30582364125</v>
      </c>
      <c r="AN181" s="359">
        <f>(102*'Emissions Factors'!$D$10*'Calcs - Power'!$G180+'Emissions Factors'!$D$11*('Calcs - Power'!$H180+'Calcs - Power'!$I180+'Calcs - Power'!$J180+'Calcs - Power'!$K180))</f>
        <v>5164.4415956994862</v>
      </c>
      <c r="AO181" s="366">
        <f>(102*'Emissions Factors'!$D$10*'Calcs - Power'!$B180+'Emissions Factors'!$D$11*('Calcs - Power'!$C180+'Calcs - Power'!$D180+'Calcs - Power'!$E180+'Calcs - Power'!$F180))</f>
        <v>539585.15305734449</v>
      </c>
      <c r="AP181" s="367">
        <f>(102*'Emissions Factors'!$E$10*'Calcs - Power'!$G180+'Emissions Factors'!$E$11*('Calcs - Power'!H180+'Calcs - Power'!I180+'Calcs - Power'!J180+'Calcs - Power'!K180))</f>
        <v>6256.3963734768304</v>
      </c>
      <c r="AQ181" s="366">
        <f>(102*'Emissions Factors'!$E$10*'Calcs - Power'!$B180+'Emissions Factors'!$E$11*('Calcs - Power'!C180+'Calcs - Power'!D180+'Calcs - Power'!E180+'Calcs - Power'!F180))</f>
        <v>607842.30582364125</v>
      </c>
      <c r="AS181" s="357"/>
      <c r="AT181" s="357"/>
      <c r="AU181" s="357"/>
      <c r="AV181" s="357"/>
      <c r="AX181" s="358">
        <f t="shared" si="33"/>
        <v>169</v>
      </c>
      <c r="AY181" s="359">
        <f>(('Methane Leakage'!$G$6/'Methane Leakage'!$G$5)*102*'Emissions Factors'!$F$10*'Calcs - Power'!$G180+'Emissions Factors'!$F$11*('Calcs - Power'!$H180+'Calcs - Power'!$I180+'Calcs - Power'!$J180+'Calcs - Power'!$K180))</f>
        <v>7137767.5368643478</v>
      </c>
      <c r="AZ181" s="366">
        <f>(('Methane Leakage'!$G$6/'Methane Leakage'!$G$5)*102*'Emissions Factors'!$F$10*'Calcs - Power'!$B180+'Emissions Factors'!$F$11*('Calcs - Power'!$C180+'Calcs - Power'!$D180+'Calcs - Power'!$E180+'Calcs - Power'!$F180))</f>
        <v>729712258.69315779</v>
      </c>
      <c r="BA181" s="359">
        <f>(102*'Emissions Factors'!$G$10*'Calcs - Power'!$G180+'Emissions Factors'!$G$11*('Calcs - Power'!H180+'Calcs - Power'!I180+'Calcs - Power'!J180+'Calcs - Power'!K180))</f>
        <v>7230453.3545745295</v>
      </c>
      <c r="BB181" s="366">
        <f>(102*'Emissions Factors'!$G$10*'Calcs - Power'!$B180+'Emissions Factors'!$G$11*('Calcs - Power'!C180+'Calcs - Power'!D180+'Calcs - Power'!E180+'Calcs - Power'!F180))</f>
        <v>700828592.11791682</v>
      </c>
      <c r="BC181" s="359">
        <f>(102*'Emissions Factors'!$F$10*'Calcs - Power'!$G180+'Emissions Factors'!$F$11*('Calcs - Power'!$H180+'Calcs - Power'!$I180+'Calcs - Power'!$J180+'Calcs - Power'!$K180))</f>
        <v>7137767.5368643478</v>
      </c>
      <c r="BD181" s="366">
        <f>(102*'Emissions Factors'!$F$10*'Calcs - Power'!$B180+'Emissions Factors'!$F$11*('Calcs - Power'!$C180+'Calcs - Power'!$D180+'Calcs - Power'!$E180+'Calcs - Power'!$F180))</f>
        <v>729712258.69315779</v>
      </c>
      <c r="BE181" s="359">
        <f>(102*'Emissions Factors'!$G$10*'Calcs - Power'!$G180+'Emissions Factors'!$G$11*('Calcs - Power'!H180+'Calcs - Power'!I180+'Calcs - Power'!J180+'Calcs - Power'!K180))</f>
        <v>7230453.3545745295</v>
      </c>
      <c r="BF181" s="366">
        <f>(102*'Emissions Factors'!$G$10*'Calcs - Power'!$B180+'Emissions Factors'!$G$11*('Calcs - Power'!C180+'Calcs - Power'!D180+'Calcs - Power'!E180+'Calcs - Power'!F180))</f>
        <v>700828592.11791682</v>
      </c>
    </row>
    <row r="182" spans="1:58" x14ac:dyDescent="0.3">
      <c r="A182" s="351">
        <f t="shared" si="30"/>
        <v>170</v>
      </c>
      <c r="B182" s="352">
        <f t="shared" si="24"/>
        <v>0.99999999999999978</v>
      </c>
      <c r="C182" s="363">
        <f t="shared" si="25"/>
        <v>0.99999999999999989</v>
      </c>
      <c r="D182" s="352">
        <f t="shared" si="26"/>
        <v>1</v>
      </c>
      <c r="E182" s="364">
        <f t="shared" si="27"/>
        <v>1</v>
      </c>
      <c r="F182" s="364">
        <f t="shared" si="28"/>
        <v>1</v>
      </c>
      <c r="G182" s="365">
        <f t="shared" si="29"/>
        <v>1</v>
      </c>
      <c r="P182" s="358">
        <f t="shared" si="31"/>
        <v>170</v>
      </c>
      <c r="Q182" s="359">
        <f>(('Methane Leakage'!$C$6/'Methane Leakage'!$C$5)*102*'Emissions Factors'!$C$38*'Calcs - Power'!$G181+'Emissions Factors'!$C$37*('Calcs - Power'!$H181+'Calcs - Power'!$I181+'Calcs - Power'!$J181+'Calcs - Power'!$K181))</f>
        <v>38003.282915845804</v>
      </c>
      <c r="R182" s="366">
        <f>(('Methane Leakage'!$C$6/'Methane Leakage'!$C$5)*102*'Emissions Factors'!$C$38*'Calcs - Power'!$B181+'Emissions Factors'!$C$37*('Calcs - Power'!$C181+'Calcs - Power'!$D181+'Calcs - Power'!$E181+'Calcs - Power'!$F181))</f>
        <v>3912852.6841869974</v>
      </c>
      <c r="S182" s="359">
        <f>(('Methane Leakage'!$C$6/'Methane Leakage'!$C$5)*102*'Emissions Factors'!$D$38*'Calcs - Power'!$G181+'Emissions Factors'!$D$37*('Calcs - Power'!$H181+'Calcs - Power'!$I181+'Calcs - Power'!$J181+'Calcs - Power'!$K181))</f>
        <v>38003.282915845804</v>
      </c>
      <c r="T182" s="366">
        <f>(('Methane Leakage'!$C$6/'Methane Leakage'!$C$5)*102*'Emissions Factors'!$D$38*'Calcs - Power'!$B181+'Emissions Factors'!$D$37*('Calcs - Power'!$C181+'Calcs - Power'!$D181+'Calcs - Power'!$E181+'Calcs - Power'!$F181))</f>
        <v>3912852.6841869974</v>
      </c>
      <c r="U182" s="361">
        <f>(102*'Emissions Factors'!$C$36*'Calcs - Power'!$G181+'Emissions Factors'!$C$35*('Calcs - Power'!$H181+'Calcs - Power'!$I181+'Calcs - Power'!$J181+'Calcs - Power'!$K181))</f>
        <v>70655.037321955286</v>
      </c>
      <c r="V182" s="366">
        <f>(102*'Emissions Factors'!$C$36*'Calcs - Power'!$B181+'Emissions Factors'!$C$35*('Calcs - Power'!$C181+'Calcs - Power'!$D181+'Calcs - Power'!$E181+'Calcs - Power'!$F181))</f>
        <v>6874689.4495405611</v>
      </c>
      <c r="W182" s="359">
        <f>(102*'Emissions Factors'!$D$36*'Calcs - Power'!$G181+'Emissions Factors'!$D$35*('Calcs - Power'!$H181+'Calcs - Power'!$I181+'Calcs - Power'!$J181+'Calcs - Power'!$K181))</f>
        <v>70655.037321955286</v>
      </c>
      <c r="X182" s="366">
        <f>(102*'Emissions Factors'!$D$36*'Calcs - Power'!$B181+'Emissions Factors'!$D$35*('Calcs - Power'!$C181+'Calcs - Power'!$D181+'Calcs - Power'!$E181+'Calcs - Power'!$F181))</f>
        <v>6874689.4495405611</v>
      </c>
      <c r="Y182" s="359">
        <f>(102*'Emissions Factors'!$C$38*'Calcs - Power'!$G181+'Emissions Factors'!$C$37*('Calcs - Power'!$H181+'Calcs - Power'!$I181+'Calcs - Power'!$J181+'Calcs - Power'!$K181))</f>
        <v>38003.282915845804</v>
      </c>
      <c r="Z182" s="366">
        <f>(102*'Emissions Factors'!$C$38*'Calcs - Power'!$B181+'Emissions Factors'!$C$37*('Calcs - Power'!$C181+'Calcs - Power'!$D181+'Calcs - Power'!$E181+'Calcs - Power'!$F181))</f>
        <v>3912852.6841869974</v>
      </c>
      <c r="AA182" s="359">
        <f>(102*'Emissions Factors'!$C$36*'Calcs - Power'!$G181+'Emissions Factors'!$C$35*('Calcs - Power'!$H181+'Calcs - Power'!$I181+'Calcs - Power'!$J181+'Calcs - Power'!$K181))</f>
        <v>70655.037321955286</v>
      </c>
      <c r="AB182" s="366">
        <f>(102*'Emissions Factors'!$C$36*'Calcs - Power'!$B181+'Emissions Factors'!$C$35*('Calcs - Power'!$C181+'Calcs - Power'!$D181+'Calcs - Power'!$E181+'Calcs - Power'!$F181))</f>
        <v>6874689.4495405611</v>
      </c>
      <c r="AI182" s="358">
        <f t="shared" si="32"/>
        <v>170</v>
      </c>
      <c r="AJ182" s="359">
        <f>(('Methane Leakage'!$G$6/'Methane Leakage'!$G$5)*102*'Emissions Factors'!$D$10*'Calcs - Power'!$G181+'Emissions Factors'!$D$11*('Calcs - Power'!$H181+'Calcs - Power'!$I181+'Calcs - Power'!$J181+'Calcs - Power'!$K181))</f>
        <v>5184.0624630217371</v>
      </c>
      <c r="AK182" s="366">
        <f>(('Methane Leakage'!$G$6/'Methane Leakage'!$G$5)*102*'Emissions Factors'!$D$10*'Calcs - Power'!$B181+'Emissions Factors'!$D$11*('Calcs - Power'!$C181+'Calcs - Power'!$D181+'Calcs - Power'!$E181+'Calcs - Power'!$F181))</f>
        <v>544759.40802164888</v>
      </c>
      <c r="AL182" s="359">
        <f>(102*'Emissions Factors'!$E$10*'Calcs - Power'!$G181+'Emissions Factors'!$E$11*('Calcs - Power'!H181+'Calcs - Power'!I181+'Calcs - Power'!J181+'Calcs - Power'!K181))</f>
        <v>6283.4811761617184</v>
      </c>
      <c r="AM182" s="366">
        <f>(102*'Emissions Factors'!$E$10*'Calcs - Power'!$B181+'Emissions Factors'!$E$11*('Calcs - Power'!C181+'Calcs - Power'!D181+'Calcs - Power'!E181+'Calcs - Power'!F181))</f>
        <v>614112.24864951777</v>
      </c>
      <c r="AN182" s="359">
        <f>(102*'Emissions Factors'!$D$10*'Calcs - Power'!$G181+'Emissions Factors'!$D$11*('Calcs - Power'!$H181+'Calcs - Power'!$I181+'Calcs - Power'!$J181+'Calcs - Power'!$K181))</f>
        <v>5184.0624630217371</v>
      </c>
      <c r="AO182" s="366">
        <f>(102*'Emissions Factors'!$D$10*'Calcs - Power'!$B181+'Emissions Factors'!$D$11*('Calcs - Power'!$C181+'Calcs - Power'!$D181+'Calcs - Power'!$E181+'Calcs - Power'!$F181))</f>
        <v>544759.40802164888</v>
      </c>
      <c r="AP182" s="367">
        <f>(102*'Emissions Factors'!$E$10*'Calcs - Power'!$G181+'Emissions Factors'!$E$11*('Calcs - Power'!H181+'Calcs - Power'!I181+'Calcs - Power'!J181+'Calcs - Power'!K181))</f>
        <v>6283.4811761617184</v>
      </c>
      <c r="AQ182" s="366">
        <f>(102*'Emissions Factors'!$E$10*'Calcs - Power'!$B181+'Emissions Factors'!$E$11*('Calcs - Power'!C181+'Calcs - Power'!D181+'Calcs - Power'!E181+'Calcs - Power'!F181))</f>
        <v>614112.24864951777</v>
      </c>
      <c r="AS182" s="357"/>
      <c r="AT182" s="357"/>
      <c r="AU182" s="357"/>
      <c r="AV182" s="357"/>
      <c r="AX182" s="358">
        <f t="shared" si="33"/>
        <v>170</v>
      </c>
      <c r="AY182" s="359">
        <f>(('Methane Leakage'!$G$6/'Methane Leakage'!$G$5)*102*'Emissions Factors'!$F$10*'Calcs - Power'!$G181+'Emissions Factors'!$F$11*('Calcs - Power'!$H181+'Calcs - Power'!$I181+'Calcs - Power'!$J181+'Calcs - Power'!$K181))</f>
        <v>7166046.3702133372</v>
      </c>
      <c r="AZ182" s="366">
        <f>(('Methane Leakage'!$G$6/'Methane Leakage'!$G$5)*102*'Emissions Factors'!$F$10*'Calcs - Power'!$B181+'Emissions Factors'!$F$11*('Calcs - Power'!$C181+'Calcs - Power'!$D181+'Calcs - Power'!$E181+'Calcs - Power'!$F181))</f>
        <v>736864169.87659597</v>
      </c>
      <c r="BA182" s="359">
        <f>(102*'Emissions Factors'!$G$10*'Calcs - Power'!$G181+'Emissions Factors'!$G$11*('Calcs - Power'!H181+'Calcs - Power'!I181+'Calcs - Power'!J181+'Calcs - Power'!K181))</f>
        <v>7261874.2376747401</v>
      </c>
      <c r="BB182" s="366">
        <f>(102*'Emissions Factors'!$G$10*'Calcs - Power'!$B181+'Emissions Factors'!$G$11*('Calcs - Power'!C181+'Calcs - Power'!D181+'Calcs - Power'!E181+'Calcs - Power'!F181))</f>
        <v>708074760.61363208</v>
      </c>
      <c r="BC182" s="359">
        <f>(102*'Emissions Factors'!$F$10*'Calcs - Power'!$G181+'Emissions Factors'!$F$11*('Calcs - Power'!$H181+'Calcs - Power'!$I181+'Calcs - Power'!$J181+'Calcs - Power'!$K181))</f>
        <v>7166046.3702133372</v>
      </c>
      <c r="BD182" s="366">
        <f>(102*'Emissions Factors'!$F$10*'Calcs - Power'!$B181+'Emissions Factors'!$F$11*('Calcs - Power'!$C181+'Calcs - Power'!$D181+'Calcs - Power'!$E181+'Calcs - Power'!$F181))</f>
        <v>736864169.87659597</v>
      </c>
      <c r="BE182" s="359">
        <f>(102*'Emissions Factors'!$G$10*'Calcs - Power'!$G181+'Emissions Factors'!$G$11*('Calcs - Power'!H181+'Calcs - Power'!I181+'Calcs - Power'!J181+'Calcs - Power'!K181))</f>
        <v>7261874.2376747401</v>
      </c>
      <c r="BF182" s="366">
        <f>(102*'Emissions Factors'!$G$10*'Calcs - Power'!$B181+'Emissions Factors'!$G$11*('Calcs - Power'!C181+'Calcs - Power'!D181+'Calcs - Power'!E181+'Calcs - Power'!F181))</f>
        <v>708074760.61363208</v>
      </c>
    </row>
    <row r="183" spans="1:58" x14ac:dyDescent="0.3">
      <c r="A183" s="351">
        <f t="shared" si="30"/>
        <v>171</v>
      </c>
      <c r="B183" s="352">
        <f t="shared" si="24"/>
        <v>1</v>
      </c>
      <c r="C183" s="363">
        <f t="shared" si="25"/>
        <v>0.99999999999999989</v>
      </c>
      <c r="D183" s="352">
        <f t="shared" si="26"/>
        <v>1</v>
      </c>
      <c r="E183" s="364">
        <f t="shared" si="27"/>
        <v>1</v>
      </c>
      <c r="F183" s="364">
        <f t="shared" si="28"/>
        <v>1</v>
      </c>
      <c r="G183" s="365">
        <f t="shared" si="29"/>
        <v>1</v>
      </c>
      <c r="P183" s="358">
        <f t="shared" si="31"/>
        <v>171</v>
      </c>
      <c r="Q183" s="359">
        <f>(('Methane Leakage'!$C$6/'Methane Leakage'!$C$5)*102*'Emissions Factors'!$C$38*'Calcs - Power'!$G182+'Emissions Factors'!$C$37*('Calcs - Power'!$H182+'Calcs - Power'!$I182+'Calcs - Power'!$J182+'Calcs - Power'!$K182))</f>
        <v>38152.621128477556</v>
      </c>
      <c r="R183" s="366">
        <f>(('Methane Leakage'!$C$6/'Methane Leakage'!$C$5)*102*'Emissions Factors'!$C$38*'Calcs - Power'!$B182+'Emissions Factors'!$C$37*('Calcs - Power'!$C182+'Calcs - Power'!$D182+'Calcs - Power'!$E182+'Calcs - Power'!$F182))</f>
        <v>3950930.6584542408</v>
      </c>
      <c r="S183" s="359">
        <f>(('Methane Leakage'!$C$6/'Methane Leakage'!$C$5)*102*'Emissions Factors'!$D$38*'Calcs - Power'!$G182+'Emissions Factors'!$D$37*('Calcs - Power'!$H182+'Calcs - Power'!$I182+'Calcs - Power'!$J182+'Calcs - Power'!$K182))</f>
        <v>38152.621128477556</v>
      </c>
      <c r="T183" s="366">
        <f>(('Methane Leakage'!$C$6/'Methane Leakage'!$C$5)*102*'Emissions Factors'!$D$38*'Calcs - Power'!$B182+'Emissions Factors'!$D$37*('Calcs - Power'!$C182+'Calcs - Power'!$D182+'Calcs - Power'!$E182+'Calcs - Power'!$F182))</f>
        <v>3950930.6584542408</v>
      </c>
      <c r="U183" s="361">
        <f>(102*'Emissions Factors'!$C$36*'Calcs - Power'!$G182+'Emissions Factors'!$C$35*('Calcs - Power'!$H182+'Calcs - Power'!$I182+'Calcs - Power'!$J182+'Calcs - Power'!$K182))</f>
        <v>70961.243809363063</v>
      </c>
      <c r="V183" s="366">
        <f>(102*'Emissions Factors'!$C$36*'Calcs - Power'!$B182+'Emissions Factors'!$C$35*('Calcs - Power'!$C182+'Calcs - Power'!$D182+'Calcs - Power'!$E182+'Calcs - Power'!$F182))</f>
        <v>6945497.6357152658</v>
      </c>
      <c r="W183" s="359">
        <f>(102*'Emissions Factors'!$D$36*'Calcs - Power'!$G182+'Emissions Factors'!$D$35*('Calcs - Power'!$H182+'Calcs - Power'!$I182+'Calcs - Power'!$J182+'Calcs - Power'!$K182))</f>
        <v>70961.243809363063</v>
      </c>
      <c r="X183" s="366">
        <f>(102*'Emissions Factors'!$D$36*'Calcs - Power'!$B182+'Emissions Factors'!$D$35*('Calcs - Power'!$C182+'Calcs - Power'!$D182+'Calcs - Power'!$E182+'Calcs - Power'!$F182))</f>
        <v>6945497.6357152658</v>
      </c>
      <c r="Y183" s="359">
        <f>(102*'Emissions Factors'!$C$38*'Calcs - Power'!$G182+'Emissions Factors'!$C$37*('Calcs - Power'!$H182+'Calcs - Power'!$I182+'Calcs - Power'!$J182+'Calcs - Power'!$K182))</f>
        <v>38152.621128477556</v>
      </c>
      <c r="Z183" s="366">
        <f>(102*'Emissions Factors'!$C$38*'Calcs - Power'!$B182+'Emissions Factors'!$C$37*('Calcs - Power'!$C182+'Calcs - Power'!$D182+'Calcs - Power'!$E182+'Calcs - Power'!$F182))</f>
        <v>3950930.6584542408</v>
      </c>
      <c r="AA183" s="359">
        <f>(102*'Emissions Factors'!$C$36*'Calcs - Power'!$G182+'Emissions Factors'!$C$35*('Calcs - Power'!$H182+'Calcs - Power'!$I182+'Calcs - Power'!$J182+'Calcs - Power'!$K182))</f>
        <v>70961.243809363063</v>
      </c>
      <c r="AB183" s="366">
        <f>(102*'Emissions Factors'!$C$36*'Calcs - Power'!$B182+'Emissions Factors'!$C$35*('Calcs - Power'!$C182+'Calcs - Power'!$D182+'Calcs - Power'!$E182+'Calcs - Power'!$F182))</f>
        <v>6945497.6357152658</v>
      </c>
      <c r="AI183" s="358">
        <f t="shared" si="32"/>
        <v>171</v>
      </c>
      <c r="AJ183" s="359">
        <f>(('Methane Leakage'!$G$6/'Methane Leakage'!$G$5)*102*'Emissions Factors'!$D$10*'Calcs - Power'!$G182+'Emissions Factors'!$D$11*('Calcs - Power'!$H182+'Calcs - Power'!$I182+'Calcs - Power'!$J182+'Calcs - Power'!$K182))</f>
        <v>5203.6482156294687</v>
      </c>
      <c r="AK183" s="366">
        <f>(('Methane Leakage'!$G$6/'Methane Leakage'!$G$5)*102*'Emissions Factors'!$D$10*'Calcs - Power'!$B182+'Emissions Factors'!$D$11*('Calcs - Power'!$C182+'Calcs - Power'!$D182+'Calcs - Power'!$E182+'Calcs - Power'!$F182))</f>
        <v>549953.2662785002</v>
      </c>
      <c r="AL183" s="359">
        <f>(102*'Emissions Factors'!$E$10*'Calcs - Power'!$G182+'Emissions Factors'!$E$11*('Calcs - Power'!H182+'Calcs - Power'!I182+'Calcs - Power'!J182+'Calcs - Power'!K182))</f>
        <v>6310.5175103854172</v>
      </c>
      <c r="AM183" s="366">
        <f>(102*'Emissions Factors'!$E$10*'Calcs - Power'!$B182+'Emissions Factors'!$E$11*('Calcs - Power'!C182+'Calcs - Power'!D182+'Calcs - Power'!E182+'Calcs - Power'!F182))</f>
        <v>620409.25201983424</v>
      </c>
      <c r="AN183" s="359">
        <f>(102*'Emissions Factors'!$D$10*'Calcs - Power'!$G182+'Emissions Factors'!$D$11*('Calcs - Power'!$H182+'Calcs - Power'!$I182+'Calcs - Power'!$J182+'Calcs - Power'!$K182))</f>
        <v>5203.6482156294687</v>
      </c>
      <c r="AO183" s="366">
        <f>(102*'Emissions Factors'!$D$10*'Calcs - Power'!$B182+'Emissions Factors'!$D$11*('Calcs - Power'!$C182+'Calcs - Power'!$D182+'Calcs - Power'!$E182+'Calcs - Power'!$F182))</f>
        <v>549953.2662785002</v>
      </c>
      <c r="AP183" s="367">
        <f>(102*'Emissions Factors'!$E$10*'Calcs - Power'!$G182+'Emissions Factors'!$E$11*('Calcs - Power'!H182+'Calcs - Power'!I182+'Calcs - Power'!J182+'Calcs - Power'!K182))</f>
        <v>6310.5175103854172</v>
      </c>
      <c r="AQ183" s="366">
        <f>(102*'Emissions Factors'!$E$10*'Calcs - Power'!$B182+'Emissions Factors'!$E$11*('Calcs - Power'!C182+'Calcs - Power'!D182+'Calcs - Power'!E182+'Calcs - Power'!F182))</f>
        <v>620409.25201983424</v>
      </c>
      <c r="AS183" s="357"/>
      <c r="AT183" s="357"/>
      <c r="AU183" s="357"/>
      <c r="AV183" s="357"/>
      <c r="AX183" s="358">
        <f t="shared" si="33"/>
        <v>171</v>
      </c>
      <c r="AY183" s="359">
        <f>(('Methane Leakage'!$G$6/'Methane Leakage'!$G$5)*102*'Emissions Factors'!$F$10*'Calcs - Power'!$G182+'Emissions Factors'!$F$11*('Calcs - Power'!$H182+'Calcs - Power'!$I182+'Calcs - Power'!$J182+'Calcs - Power'!$K182))</f>
        <v>7194274.5954786977</v>
      </c>
      <c r="AZ183" s="366">
        <f>(('Methane Leakage'!$G$6/'Methane Leakage'!$G$5)*102*'Emissions Factors'!$F$10*'Calcs - Power'!$B182+'Emissions Factors'!$F$11*('Calcs - Power'!$C182+'Calcs - Power'!$D182+'Calcs - Power'!$E182+'Calcs - Power'!$F182))</f>
        <v>744044334.56424785</v>
      </c>
      <c r="BA183" s="359">
        <f>(102*'Emissions Factors'!$G$10*'Calcs - Power'!$G182+'Emissions Factors'!$G$11*('Calcs - Power'!H182+'Calcs - Power'!I182+'Calcs - Power'!J182+'Calcs - Power'!K182))</f>
        <v>7293238.8929964658</v>
      </c>
      <c r="BB183" s="366">
        <f>(102*'Emissions Factors'!$G$10*'Calcs - Power'!$B182+'Emissions Factors'!$G$11*('Calcs - Power'!C182+'Calcs - Power'!D182+'Calcs - Power'!E182+'Calcs - Power'!F182))</f>
        <v>715352321.8507005</v>
      </c>
      <c r="BC183" s="359">
        <f>(102*'Emissions Factors'!$F$10*'Calcs - Power'!$G182+'Emissions Factors'!$F$11*('Calcs - Power'!$H182+'Calcs - Power'!$I182+'Calcs - Power'!$J182+'Calcs - Power'!$K182))</f>
        <v>7194274.5954786977</v>
      </c>
      <c r="BD183" s="366">
        <f>(102*'Emissions Factors'!$F$10*'Calcs - Power'!$B182+'Emissions Factors'!$F$11*('Calcs - Power'!$C182+'Calcs - Power'!$D182+'Calcs - Power'!$E182+'Calcs - Power'!$F182))</f>
        <v>744044334.56424785</v>
      </c>
      <c r="BE183" s="359">
        <f>(102*'Emissions Factors'!$G$10*'Calcs - Power'!$G182+'Emissions Factors'!$G$11*('Calcs - Power'!H182+'Calcs - Power'!I182+'Calcs - Power'!J182+'Calcs - Power'!K182))</f>
        <v>7293238.8929964658</v>
      </c>
      <c r="BF183" s="366">
        <f>(102*'Emissions Factors'!$G$10*'Calcs - Power'!$B182+'Emissions Factors'!$G$11*('Calcs - Power'!C182+'Calcs - Power'!D182+'Calcs - Power'!E182+'Calcs - Power'!F182))</f>
        <v>715352321.8507005</v>
      </c>
    </row>
    <row r="184" spans="1:58" x14ac:dyDescent="0.3">
      <c r="A184" s="351">
        <f t="shared" si="30"/>
        <v>172</v>
      </c>
      <c r="B184" s="352">
        <f t="shared" si="24"/>
        <v>1</v>
      </c>
      <c r="C184" s="363">
        <f t="shared" si="25"/>
        <v>0.99999999999999978</v>
      </c>
      <c r="D184" s="352">
        <f t="shared" si="26"/>
        <v>1</v>
      </c>
      <c r="E184" s="364">
        <f t="shared" si="27"/>
        <v>1</v>
      </c>
      <c r="F184" s="364">
        <f t="shared" si="28"/>
        <v>1</v>
      </c>
      <c r="G184" s="365">
        <f t="shared" si="29"/>
        <v>1</v>
      </c>
      <c r="P184" s="358">
        <f t="shared" si="31"/>
        <v>172</v>
      </c>
      <c r="Q184" s="359">
        <f>(('Methane Leakage'!$C$6/'Methane Leakage'!$C$5)*102*'Emissions Factors'!$C$38*'Calcs - Power'!$G183+'Emissions Factors'!$C$37*('Calcs - Power'!$H183+'Calcs - Power'!$I183+'Calcs - Power'!$J183+'Calcs - Power'!$K183))</f>
        <v>38301.693191652419</v>
      </c>
      <c r="R184" s="366">
        <f>(('Methane Leakage'!$C$6/'Methane Leakage'!$C$5)*102*'Emissions Factors'!$C$38*'Calcs - Power'!$B183+'Emissions Factors'!$C$37*('Calcs - Power'!$C183+'Calcs - Power'!$D183+'Calcs - Power'!$E183+'Calcs - Power'!$F183))</f>
        <v>3989157.8377275933</v>
      </c>
      <c r="S184" s="359">
        <f>(('Methane Leakage'!$C$6/'Methane Leakage'!$C$5)*102*'Emissions Factors'!$D$38*'Calcs - Power'!$G183+'Emissions Factors'!$D$37*('Calcs - Power'!$H183+'Calcs - Power'!$I183+'Calcs - Power'!$J183+'Calcs - Power'!$K183))</f>
        <v>38301.693191652419</v>
      </c>
      <c r="T184" s="366">
        <f>(('Methane Leakage'!$C$6/'Methane Leakage'!$C$5)*102*'Emissions Factors'!$D$38*'Calcs - Power'!$B183+'Emissions Factors'!$D$37*('Calcs - Power'!$C183+'Calcs - Power'!$D183+'Calcs - Power'!$E183+'Calcs - Power'!$F183))</f>
        <v>3989157.8377275933</v>
      </c>
      <c r="U184" s="361">
        <f>(102*'Emissions Factors'!$C$36*'Calcs - Power'!$G183+'Emissions Factors'!$C$35*('Calcs - Power'!$H183+'Calcs - Power'!$I183+'Calcs - Power'!$J183+'Calcs - Power'!$K183))</f>
        <v>71266.904609811012</v>
      </c>
      <c r="V184" s="366">
        <f>(102*'Emissions Factors'!$C$36*'Calcs - Power'!$B183+'Emissions Factors'!$C$35*('Calcs - Power'!$C183+'Calcs - Power'!$D183+'Calcs - Power'!$E183+'Calcs - Power'!$F183))</f>
        <v>7016611.7552638911</v>
      </c>
      <c r="W184" s="359">
        <f>(102*'Emissions Factors'!$D$36*'Calcs - Power'!$G183+'Emissions Factors'!$D$35*('Calcs - Power'!$H183+'Calcs - Power'!$I183+'Calcs - Power'!$J183+'Calcs - Power'!$K183))</f>
        <v>71266.904609811012</v>
      </c>
      <c r="X184" s="366">
        <f>(102*'Emissions Factors'!$D$36*'Calcs - Power'!$B183+'Emissions Factors'!$D$35*('Calcs - Power'!$C183+'Calcs - Power'!$D183+'Calcs - Power'!$E183+'Calcs - Power'!$F183))</f>
        <v>7016611.7552638911</v>
      </c>
      <c r="Y184" s="359">
        <f>(102*'Emissions Factors'!$C$38*'Calcs - Power'!$G183+'Emissions Factors'!$C$37*('Calcs - Power'!$H183+'Calcs - Power'!$I183+'Calcs - Power'!$J183+'Calcs - Power'!$K183))</f>
        <v>38301.693191652419</v>
      </c>
      <c r="Z184" s="366">
        <f>(102*'Emissions Factors'!$C$38*'Calcs - Power'!$B183+'Emissions Factors'!$C$37*('Calcs - Power'!$C183+'Calcs - Power'!$D183+'Calcs - Power'!$E183+'Calcs - Power'!$F183))</f>
        <v>3989157.8377275933</v>
      </c>
      <c r="AA184" s="359">
        <f>(102*'Emissions Factors'!$C$36*'Calcs - Power'!$G183+'Emissions Factors'!$C$35*('Calcs - Power'!$H183+'Calcs - Power'!$I183+'Calcs - Power'!$J183+'Calcs - Power'!$K183))</f>
        <v>71266.904609811012</v>
      </c>
      <c r="AB184" s="366">
        <f>(102*'Emissions Factors'!$C$36*'Calcs - Power'!$B183+'Emissions Factors'!$C$35*('Calcs - Power'!$C183+'Calcs - Power'!$D183+'Calcs - Power'!$E183+'Calcs - Power'!$F183))</f>
        <v>7016611.7552638911</v>
      </c>
      <c r="AI184" s="358">
        <f t="shared" si="32"/>
        <v>172</v>
      </c>
      <c r="AJ184" s="359">
        <f>(('Methane Leakage'!$G$6/'Methane Leakage'!$G$5)*102*'Emissions Factors'!$D$10*'Calcs - Power'!$G183+'Emissions Factors'!$D$11*('Calcs - Power'!$H183+'Calcs - Power'!$I183+'Calcs - Power'!$J183+'Calcs - Power'!$K183))</f>
        <v>5223.1990617743504</v>
      </c>
      <c r="AK184" s="366">
        <f>(('Methane Leakage'!$G$6/'Methane Leakage'!$G$5)*102*'Emissions Factors'!$D$10*'Calcs - Power'!$B183+'Emissions Factors'!$D$11*('Calcs - Power'!$C183+'Calcs - Power'!$D183+'Calcs - Power'!$E183+'Calcs - Power'!$F183))</f>
        <v>555166.69281743688</v>
      </c>
      <c r="AL184" s="359">
        <f>(102*'Emissions Factors'!$E$10*'Calcs - Power'!$G183+'Emissions Factors'!$E$11*('Calcs - Power'!H183+'Calcs - Power'!I183+'Calcs - Power'!J183+'Calcs - Power'!K183))</f>
        <v>6337.5056632795167</v>
      </c>
      <c r="AM184" s="366">
        <f>(102*'Emissions Factors'!$E$10*'Calcs - Power'!$B183+'Emissions Factors'!$E$11*('Calcs - Power'!C183+'Calcs - Power'!D183+'Calcs - Power'!E183+'Calcs - Power'!F183))</f>
        <v>626733.2676098682</v>
      </c>
      <c r="AN184" s="359">
        <f>(102*'Emissions Factors'!$D$10*'Calcs - Power'!$G183+'Emissions Factors'!$D$11*('Calcs - Power'!$H183+'Calcs - Power'!$I183+'Calcs - Power'!$J183+'Calcs - Power'!$K183))</f>
        <v>5223.1990617743504</v>
      </c>
      <c r="AO184" s="366">
        <f>(102*'Emissions Factors'!$D$10*'Calcs - Power'!$B183+'Emissions Factors'!$D$11*('Calcs - Power'!$C183+'Calcs - Power'!$D183+'Calcs - Power'!$E183+'Calcs - Power'!$F183))</f>
        <v>555166.69281743688</v>
      </c>
      <c r="AP184" s="367">
        <f>(102*'Emissions Factors'!$E$10*'Calcs - Power'!$G183+'Emissions Factors'!$E$11*('Calcs - Power'!H183+'Calcs - Power'!I183+'Calcs - Power'!J183+'Calcs - Power'!K183))</f>
        <v>6337.5056632795167</v>
      </c>
      <c r="AQ184" s="366">
        <f>(102*'Emissions Factors'!$E$10*'Calcs - Power'!$B183+'Emissions Factors'!$E$11*('Calcs - Power'!C183+'Calcs - Power'!D183+'Calcs - Power'!E183+'Calcs - Power'!F183))</f>
        <v>626733.2676098682</v>
      </c>
      <c r="AS184" s="357"/>
      <c r="AT184" s="357"/>
      <c r="AU184" s="357"/>
      <c r="AV184" s="357"/>
      <c r="AX184" s="358">
        <f t="shared" si="33"/>
        <v>172</v>
      </c>
      <c r="AY184" s="359">
        <f>(('Methane Leakage'!$G$6/'Methane Leakage'!$G$5)*102*'Emissions Factors'!$F$10*'Calcs - Power'!$G183+'Emissions Factors'!$F$11*('Calcs - Power'!$H183+'Calcs - Power'!$I183+'Calcs - Power'!$J183+'Calcs - Power'!$K183))</f>
        <v>7222452.5126866037</v>
      </c>
      <c r="AZ184" s="366">
        <f>(('Methane Leakage'!$G$6/'Methane Leakage'!$G$5)*102*'Emissions Factors'!$F$10*'Calcs - Power'!$B183+'Emissions Factors'!$F$11*('Calcs - Power'!$C183+'Calcs - Power'!$D183+'Calcs - Power'!$E183+'Calcs - Power'!$F183))</f>
        <v>751252702.29822493</v>
      </c>
      <c r="BA184" s="359">
        <f>(102*'Emissions Factors'!$G$10*'Calcs - Power'!$G183+'Emissions Factors'!$G$11*('Calcs - Power'!H183+'Calcs - Power'!I183+'Calcs - Power'!J183+'Calcs - Power'!K183))</f>
        <v>7324547.6536282282</v>
      </c>
      <c r="BB184" s="366">
        <f>(102*'Emissions Factors'!$G$10*'Calcs - Power'!$B183+'Emissions Factors'!$G$11*('Calcs - Power'!C183+'Calcs - Power'!D183+'Calcs - Power'!E183+'Calcs - Power'!F183))</f>
        <v>722661219.7680881</v>
      </c>
      <c r="BC184" s="359">
        <f>(102*'Emissions Factors'!$F$10*'Calcs - Power'!$G183+'Emissions Factors'!$F$11*('Calcs - Power'!$H183+'Calcs - Power'!$I183+'Calcs - Power'!$J183+'Calcs - Power'!$K183))</f>
        <v>7222452.5126866037</v>
      </c>
      <c r="BD184" s="366">
        <f>(102*'Emissions Factors'!$F$10*'Calcs - Power'!$B183+'Emissions Factors'!$F$11*('Calcs - Power'!$C183+'Calcs - Power'!$D183+'Calcs - Power'!$E183+'Calcs - Power'!$F183))</f>
        <v>751252702.29822493</v>
      </c>
      <c r="BE184" s="359">
        <f>(102*'Emissions Factors'!$G$10*'Calcs - Power'!$G183+'Emissions Factors'!$G$11*('Calcs - Power'!H183+'Calcs - Power'!I183+'Calcs - Power'!J183+'Calcs - Power'!K183))</f>
        <v>7324547.6536282282</v>
      </c>
      <c r="BF184" s="366">
        <f>(102*'Emissions Factors'!$G$10*'Calcs - Power'!$B183+'Emissions Factors'!$G$11*('Calcs - Power'!C183+'Calcs - Power'!D183+'Calcs - Power'!E183+'Calcs - Power'!F183))</f>
        <v>722661219.7680881</v>
      </c>
    </row>
    <row r="185" spans="1:58" x14ac:dyDescent="0.3">
      <c r="A185" s="351">
        <f t="shared" si="30"/>
        <v>173</v>
      </c>
      <c r="B185" s="352">
        <f t="shared" si="24"/>
        <v>1</v>
      </c>
      <c r="C185" s="363">
        <f t="shared" si="25"/>
        <v>1</v>
      </c>
      <c r="D185" s="352">
        <f t="shared" si="26"/>
        <v>1</v>
      </c>
      <c r="E185" s="364">
        <f t="shared" si="27"/>
        <v>1</v>
      </c>
      <c r="F185" s="364">
        <f t="shared" si="28"/>
        <v>1</v>
      </c>
      <c r="G185" s="365">
        <f t="shared" si="29"/>
        <v>1</v>
      </c>
      <c r="P185" s="358">
        <f t="shared" si="31"/>
        <v>173</v>
      </c>
      <c r="Q185" s="359">
        <f>(('Methane Leakage'!$C$6/'Methane Leakage'!$C$5)*102*'Emissions Factors'!$C$38*'Calcs - Power'!$G184+'Emissions Factors'!$C$37*('Calcs - Power'!$H184+'Calcs - Power'!$I184+'Calcs - Power'!$J184+'Calcs - Power'!$K184))</f>
        <v>38450.50068119225</v>
      </c>
      <c r="R185" s="366">
        <f>(('Methane Leakage'!$C$6/'Methane Leakage'!$C$5)*102*'Emissions Factors'!$C$38*'Calcs - Power'!$B184+'Emissions Factors'!$C$37*('Calcs - Power'!$C184+'Calcs - Power'!$D184+'Calcs - Power'!$E184+'Calcs - Power'!$F184))</f>
        <v>4027533.9566464587</v>
      </c>
      <c r="S185" s="359">
        <f>(('Methane Leakage'!$C$6/'Methane Leakage'!$C$5)*102*'Emissions Factors'!$D$38*'Calcs - Power'!$G184+'Emissions Factors'!$D$37*('Calcs - Power'!$H184+'Calcs - Power'!$I184+'Calcs - Power'!$J184+'Calcs - Power'!$K184))</f>
        <v>38450.50068119225</v>
      </c>
      <c r="T185" s="366">
        <f>(('Methane Leakage'!$C$6/'Methane Leakage'!$C$5)*102*'Emissions Factors'!$D$38*'Calcs - Power'!$B184+'Emissions Factors'!$D$37*('Calcs - Power'!$C184+'Calcs - Power'!$D184+'Calcs - Power'!$E184+'Calcs - Power'!$F184))</f>
        <v>4027533.9566464587</v>
      </c>
      <c r="U185" s="361">
        <f>(102*'Emissions Factors'!$C$36*'Calcs - Power'!$G184+'Emissions Factors'!$C$35*('Calcs - Power'!$H184+'Calcs - Power'!$I184+'Calcs - Power'!$J184+'Calcs - Power'!$K184))</f>
        <v>71572.022951789768</v>
      </c>
      <c r="V185" s="366">
        <f>(102*'Emissions Factors'!$C$36*'Calcs - Power'!$B184+'Emissions Factors'!$C$35*('Calcs - Power'!$C184+'Calcs - Power'!$D184+'Calcs - Power'!$E184+'Calcs - Power'!$F184))</f>
        <v>7088031.2641156511</v>
      </c>
      <c r="W185" s="359">
        <f>(102*'Emissions Factors'!$D$36*'Calcs - Power'!$G184+'Emissions Factors'!$D$35*('Calcs - Power'!$H184+'Calcs - Power'!$I184+'Calcs - Power'!$J184+'Calcs - Power'!$K184))</f>
        <v>71572.022951789768</v>
      </c>
      <c r="X185" s="366">
        <f>(102*'Emissions Factors'!$D$36*'Calcs - Power'!$B184+'Emissions Factors'!$D$35*('Calcs - Power'!$C184+'Calcs - Power'!$D184+'Calcs - Power'!$E184+'Calcs - Power'!$F184))</f>
        <v>7088031.2641156511</v>
      </c>
      <c r="Y185" s="359">
        <f>(102*'Emissions Factors'!$C$38*'Calcs - Power'!$G184+'Emissions Factors'!$C$37*('Calcs - Power'!$H184+'Calcs - Power'!$I184+'Calcs - Power'!$J184+'Calcs - Power'!$K184))</f>
        <v>38450.50068119225</v>
      </c>
      <c r="Z185" s="366">
        <f>(102*'Emissions Factors'!$C$38*'Calcs - Power'!$B184+'Emissions Factors'!$C$37*('Calcs - Power'!$C184+'Calcs - Power'!$D184+'Calcs - Power'!$E184+'Calcs - Power'!$F184))</f>
        <v>4027533.9566464587</v>
      </c>
      <c r="AA185" s="359">
        <f>(102*'Emissions Factors'!$C$36*'Calcs - Power'!$G184+'Emissions Factors'!$C$35*('Calcs - Power'!$H184+'Calcs - Power'!$I184+'Calcs - Power'!$J184+'Calcs - Power'!$K184))</f>
        <v>71572.022951789768</v>
      </c>
      <c r="AB185" s="366">
        <f>(102*'Emissions Factors'!$C$36*'Calcs - Power'!$B184+'Emissions Factors'!$C$35*('Calcs - Power'!$C184+'Calcs - Power'!$D184+'Calcs - Power'!$E184+'Calcs - Power'!$F184))</f>
        <v>7088031.2641156511</v>
      </c>
      <c r="AI185" s="358">
        <f t="shared" si="32"/>
        <v>173</v>
      </c>
      <c r="AJ185" s="359">
        <f>(('Methane Leakage'!$G$6/'Methane Leakage'!$G$5)*102*'Emissions Factors'!$D$10*'Calcs - Power'!$G184+'Emissions Factors'!$D$11*('Calcs - Power'!$H184+'Calcs - Power'!$I184+'Calcs - Power'!$J184+'Calcs - Power'!$K184))</f>
        <v>5242.7152081977138</v>
      </c>
      <c r="AK185" s="366">
        <f>(('Methane Leakage'!$G$6/'Methane Leakage'!$G$5)*102*'Emissions Factors'!$D$10*'Calcs - Power'!$B184+'Emissions Factors'!$D$11*('Calcs - Power'!$C184+'Calcs - Power'!$D184+'Calcs - Power'!$E184+'Calcs - Power'!$F184))</f>
        <v>560399.65283549158</v>
      </c>
      <c r="AL185" s="359">
        <f>(102*'Emissions Factors'!$E$10*'Calcs - Power'!$G184+'Emissions Factors'!$E$11*('Calcs - Power'!H184+'Calcs - Power'!I184+'Calcs - Power'!J184+'Calcs - Power'!K184))</f>
        <v>6364.4459199180073</v>
      </c>
      <c r="AM185" s="366">
        <f>(102*'Emissions Factors'!$E$10*'Calcs - Power'!$B184+'Emissions Factors'!$E$11*('Calcs - Power'!C184+'Calcs - Power'!D184+'Calcs - Power'!E184+'Calcs - Power'!F184))</f>
        <v>633084.24738099717</v>
      </c>
      <c r="AN185" s="359">
        <f>(102*'Emissions Factors'!$D$10*'Calcs - Power'!$G184+'Emissions Factors'!$D$11*('Calcs - Power'!$H184+'Calcs - Power'!$I184+'Calcs - Power'!$J184+'Calcs - Power'!$K184))</f>
        <v>5242.7152081977138</v>
      </c>
      <c r="AO185" s="366">
        <f>(102*'Emissions Factors'!$D$10*'Calcs - Power'!$B184+'Emissions Factors'!$D$11*('Calcs - Power'!$C184+'Calcs - Power'!$D184+'Calcs - Power'!$E184+'Calcs - Power'!$F184))</f>
        <v>560399.65283549158</v>
      </c>
      <c r="AP185" s="367">
        <f>(102*'Emissions Factors'!$E$10*'Calcs - Power'!$G184+'Emissions Factors'!$E$11*('Calcs - Power'!H184+'Calcs - Power'!I184+'Calcs - Power'!J184+'Calcs - Power'!K184))</f>
        <v>6364.4459199180073</v>
      </c>
      <c r="AQ185" s="366">
        <f>(102*'Emissions Factors'!$E$10*'Calcs - Power'!$B184+'Emissions Factors'!$E$11*('Calcs - Power'!C184+'Calcs - Power'!D184+'Calcs - Power'!E184+'Calcs - Power'!F184))</f>
        <v>633084.24738099717</v>
      </c>
      <c r="AS185" s="357"/>
      <c r="AT185" s="357"/>
      <c r="AU185" s="357"/>
      <c r="AV185" s="357"/>
      <c r="AX185" s="358">
        <f t="shared" si="33"/>
        <v>173</v>
      </c>
      <c r="AY185" s="359">
        <f>(('Methane Leakage'!$G$6/'Methane Leakage'!$G$5)*102*'Emissions Factors'!$F$10*'Calcs - Power'!$G184+'Emissions Factors'!$F$11*('Calcs - Power'!$H184+'Calcs - Power'!$I184+'Calcs - Power'!$J184+'Calcs - Power'!$K184))</f>
        <v>7250580.4196959827</v>
      </c>
      <c r="AZ185" s="366">
        <f>(('Methane Leakage'!$G$6/'Methane Leakage'!$G$5)*102*'Emissions Factors'!$F$10*'Calcs - Power'!$B184+'Emissions Factors'!$F$11*('Calcs - Power'!$C184+'Calcs - Power'!$D184+'Calcs - Power'!$E184+'Calcs - Power'!$F184))</f>
        <v>758489222.91957855</v>
      </c>
      <c r="BA185" s="359">
        <f>(102*'Emissions Factors'!$G$10*'Calcs - Power'!$G184+'Emissions Factors'!$G$11*('Calcs - Power'!H184+'Calcs - Power'!I184+'Calcs - Power'!J184+'Calcs - Power'!K184))</f>
        <v>7355800.8502724022</v>
      </c>
      <c r="BB185" s="366">
        <f>(102*'Emissions Factors'!$G$10*'Calcs - Power'!$B184+'Emissions Factors'!$G$11*('Calcs - Power'!C184+'Calcs - Power'!D184+'Calcs - Power'!E184+'Calcs - Power'!F184))</f>
        <v>730001398.63665378</v>
      </c>
      <c r="BC185" s="359">
        <f>(102*'Emissions Factors'!$F$10*'Calcs - Power'!$G184+'Emissions Factors'!$F$11*('Calcs - Power'!$H184+'Calcs - Power'!$I184+'Calcs - Power'!$J184+'Calcs - Power'!$K184))</f>
        <v>7250580.4196959827</v>
      </c>
      <c r="BD185" s="366">
        <f>(102*'Emissions Factors'!$F$10*'Calcs - Power'!$B184+'Emissions Factors'!$F$11*('Calcs - Power'!$C184+'Calcs - Power'!$D184+'Calcs - Power'!$E184+'Calcs - Power'!$F184))</f>
        <v>758489222.91957855</v>
      </c>
      <c r="BE185" s="359">
        <f>(102*'Emissions Factors'!$G$10*'Calcs - Power'!$G184+'Emissions Factors'!$G$11*('Calcs - Power'!H184+'Calcs - Power'!I184+'Calcs - Power'!J184+'Calcs - Power'!K184))</f>
        <v>7355800.8502724022</v>
      </c>
      <c r="BF185" s="366">
        <f>(102*'Emissions Factors'!$G$10*'Calcs - Power'!$B184+'Emissions Factors'!$G$11*('Calcs - Power'!C184+'Calcs - Power'!D184+'Calcs - Power'!E184+'Calcs - Power'!F184))</f>
        <v>730001398.63665378</v>
      </c>
    </row>
    <row r="186" spans="1:58" x14ac:dyDescent="0.3">
      <c r="A186" s="351">
        <f t="shared" si="30"/>
        <v>174</v>
      </c>
      <c r="B186" s="352">
        <f t="shared" si="24"/>
        <v>1</v>
      </c>
      <c r="C186" s="363">
        <f t="shared" si="25"/>
        <v>0.99999999999999978</v>
      </c>
      <c r="D186" s="352">
        <f t="shared" si="26"/>
        <v>1</v>
      </c>
      <c r="E186" s="364">
        <f t="shared" si="27"/>
        <v>1</v>
      </c>
      <c r="F186" s="364">
        <f t="shared" si="28"/>
        <v>1</v>
      </c>
      <c r="G186" s="365">
        <f t="shared" si="29"/>
        <v>1</v>
      </c>
      <c r="P186" s="358">
        <f t="shared" si="31"/>
        <v>174</v>
      </c>
      <c r="Q186" s="359">
        <f>(('Methane Leakage'!$C$6/'Methane Leakage'!$C$5)*102*'Emissions Factors'!$C$38*'Calcs - Power'!$G185+'Emissions Factors'!$C$37*('Calcs - Power'!$H185+'Calcs - Power'!$I185+'Calcs - Power'!$J185+'Calcs - Power'!$K185))</f>
        <v>38599.045161641458</v>
      </c>
      <c r="R186" s="366">
        <f>(('Methane Leakage'!$C$6/'Methane Leakage'!$C$5)*102*'Emissions Factors'!$C$38*'Calcs - Power'!$B185+'Emissions Factors'!$C$37*('Calcs - Power'!$C185+'Calcs - Power'!$D185+'Calcs - Power'!$E185+'Calcs - Power'!$F185))</f>
        <v>4066058.7514204057</v>
      </c>
      <c r="S186" s="359">
        <f>(('Methane Leakage'!$C$6/'Methane Leakage'!$C$5)*102*'Emissions Factors'!$D$38*'Calcs - Power'!$G185+'Emissions Factors'!$D$37*('Calcs - Power'!$H185+'Calcs - Power'!$I185+'Calcs - Power'!$J185+'Calcs - Power'!$K185))</f>
        <v>38599.045161641458</v>
      </c>
      <c r="T186" s="366">
        <f>(('Methane Leakage'!$C$6/'Methane Leakage'!$C$5)*102*'Emissions Factors'!$D$38*'Calcs - Power'!$B185+'Emissions Factors'!$D$37*('Calcs - Power'!$C185+'Calcs - Power'!$D185+'Calcs - Power'!$E185+'Calcs - Power'!$F185))</f>
        <v>4066058.7514204057</v>
      </c>
      <c r="U186" s="361">
        <f>(102*'Emissions Factors'!$C$36*'Calcs - Power'!$G185+'Emissions Factors'!$C$35*('Calcs - Power'!$H185+'Calcs - Power'!$I185+'Calcs - Power'!$J185+'Calcs - Power'!$K185))</f>
        <v>71876.60204087547</v>
      </c>
      <c r="V186" s="366">
        <f>(102*'Emissions Factors'!$C$36*'Calcs - Power'!$B185+'Emissions Factors'!$C$35*('Calcs - Power'!$C185+'Calcs - Power'!$D185+'Calcs - Power'!$E185+'Calcs - Power'!$F185))</f>
        <v>7159755.6214167578</v>
      </c>
      <c r="W186" s="359">
        <f>(102*'Emissions Factors'!$D$36*'Calcs - Power'!$G185+'Emissions Factors'!$D$35*('Calcs - Power'!$H185+'Calcs - Power'!$I185+'Calcs - Power'!$J185+'Calcs - Power'!$K185))</f>
        <v>71876.60204087547</v>
      </c>
      <c r="X186" s="366">
        <f>(102*'Emissions Factors'!$D$36*'Calcs - Power'!$B185+'Emissions Factors'!$D$35*('Calcs - Power'!$C185+'Calcs - Power'!$D185+'Calcs - Power'!$E185+'Calcs - Power'!$F185))</f>
        <v>7159755.6214167578</v>
      </c>
      <c r="Y186" s="359">
        <f>(102*'Emissions Factors'!$C$38*'Calcs - Power'!$G185+'Emissions Factors'!$C$37*('Calcs - Power'!$H185+'Calcs - Power'!$I185+'Calcs - Power'!$J185+'Calcs - Power'!$K185))</f>
        <v>38599.045161641458</v>
      </c>
      <c r="Z186" s="366">
        <f>(102*'Emissions Factors'!$C$38*'Calcs - Power'!$B185+'Emissions Factors'!$C$37*('Calcs - Power'!$C185+'Calcs - Power'!$D185+'Calcs - Power'!$E185+'Calcs - Power'!$F185))</f>
        <v>4066058.7514204057</v>
      </c>
      <c r="AA186" s="359">
        <f>(102*'Emissions Factors'!$C$36*'Calcs - Power'!$G185+'Emissions Factors'!$C$35*('Calcs - Power'!$H185+'Calcs - Power'!$I185+'Calcs - Power'!$J185+'Calcs - Power'!$K185))</f>
        <v>71876.60204087547</v>
      </c>
      <c r="AB186" s="366">
        <f>(102*'Emissions Factors'!$C$36*'Calcs - Power'!$B185+'Emissions Factors'!$C$35*('Calcs - Power'!$C185+'Calcs - Power'!$D185+'Calcs - Power'!$E185+'Calcs - Power'!$F185))</f>
        <v>7159755.6214167578</v>
      </c>
      <c r="AI186" s="358">
        <f t="shared" si="32"/>
        <v>174</v>
      </c>
      <c r="AJ186" s="359">
        <f>(('Methane Leakage'!$G$6/'Methane Leakage'!$G$5)*102*'Emissions Factors'!$D$10*'Calcs - Power'!$G185+'Emissions Factors'!$D$11*('Calcs - Power'!$H185+'Calcs - Power'!$I185+'Calcs - Power'!$J185+'Calcs - Power'!$K185))</f>
        <v>5262.196860156102</v>
      </c>
      <c r="AK186" s="366">
        <f>(('Methane Leakage'!$G$6/'Methane Leakage'!$G$5)*102*'Emissions Factors'!$D$10*'Calcs - Power'!$B185+'Emissions Factors'!$D$11*('Calcs - Power'!$C185+'Calcs - Power'!$D185+'Calcs - Power'!$E185+'Calcs - Power'!$F185))</f>
        <v>565652.11173569364</v>
      </c>
      <c r="AL186" s="359">
        <f>(102*'Emissions Factors'!$E$10*'Calcs - Power'!$G185+'Emissions Factors'!$E$11*('Calcs - Power'!H185+'Calcs - Power'!I185+'Calcs - Power'!J185+'Calcs - Power'!K185))</f>
        <v>6391.3385633503594</v>
      </c>
      <c r="AM186" s="366">
        <f>(102*'Emissions Factors'!$E$10*'Calcs - Power'!$B185+'Emissions Factors'!$E$11*('Calcs - Power'!C185+'Calcs - Power'!D185+'Calcs - Power'!E185+'Calcs - Power'!F185))</f>
        <v>639462.14357865776</v>
      </c>
      <c r="AN186" s="359">
        <f>(102*'Emissions Factors'!$D$10*'Calcs - Power'!$G185+'Emissions Factors'!$D$11*('Calcs - Power'!$H185+'Calcs - Power'!$I185+'Calcs - Power'!$J185+'Calcs - Power'!$K185))</f>
        <v>5262.196860156102</v>
      </c>
      <c r="AO186" s="366">
        <f>(102*'Emissions Factors'!$D$10*'Calcs - Power'!$B185+'Emissions Factors'!$D$11*('Calcs - Power'!$C185+'Calcs - Power'!$D185+'Calcs - Power'!$E185+'Calcs - Power'!$F185))</f>
        <v>565652.11173569364</v>
      </c>
      <c r="AP186" s="367">
        <f>(102*'Emissions Factors'!$E$10*'Calcs - Power'!$G185+'Emissions Factors'!$E$11*('Calcs - Power'!H185+'Calcs - Power'!I185+'Calcs - Power'!J185+'Calcs - Power'!K185))</f>
        <v>6391.3385633503594</v>
      </c>
      <c r="AQ186" s="366">
        <f>(102*'Emissions Factors'!$E$10*'Calcs - Power'!$B185+'Emissions Factors'!$E$11*('Calcs - Power'!C185+'Calcs - Power'!D185+'Calcs - Power'!E185+'Calcs - Power'!F185))</f>
        <v>639462.14357865776</v>
      </c>
      <c r="AS186" s="357"/>
      <c r="AT186" s="357"/>
      <c r="AU186" s="357"/>
      <c r="AV186" s="357"/>
      <c r="AX186" s="358">
        <f t="shared" si="33"/>
        <v>174</v>
      </c>
      <c r="AY186" s="359">
        <f>(('Methane Leakage'!$G$6/'Methane Leakage'!$G$5)*102*'Emissions Factors'!$F$10*'Calcs - Power'!$G185+'Emissions Factors'!$F$11*('Calcs - Power'!$H185+'Calcs - Power'!$I185+'Calcs - Power'!$J185+'Calcs - Power'!$K185))</f>
        <v>7278658.6122345785</v>
      </c>
      <c r="AZ186" s="366">
        <f>(('Methane Leakage'!$G$6/'Methane Leakage'!$G$5)*102*'Emissions Factors'!$F$10*'Calcs - Power'!$B185+'Emissions Factors'!$F$11*('Calcs - Power'!$C185+'Calcs - Power'!$D185+'Calcs - Power'!$E185+'Calcs - Power'!$F185))</f>
        <v>765753846.56615007</v>
      </c>
      <c r="BA186" s="359">
        <f>(102*'Emissions Factors'!$G$10*'Calcs - Power'!$G185+'Emissions Factors'!$G$11*('Calcs - Power'!H185+'Calcs - Power'!I185+'Calcs - Power'!J185+'Calcs - Power'!K185))</f>
        <v>7386998.8112835232</v>
      </c>
      <c r="BB186" s="366">
        <f>(102*'Emissions Factors'!$G$10*'Calcs - Power'!$B185+'Emissions Factors'!$G$11*('Calcs - Power'!C185+'Calcs - Power'!D185+'Calcs - Power'!E185+'Calcs - Power'!F185))</f>
        <v>737372803.05678105</v>
      </c>
      <c r="BC186" s="359">
        <f>(102*'Emissions Factors'!$F$10*'Calcs - Power'!$G185+'Emissions Factors'!$F$11*('Calcs - Power'!$H185+'Calcs - Power'!$I185+'Calcs - Power'!$J185+'Calcs - Power'!$K185))</f>
        <v>7278658.6122345785</v>
      </c>
      <c r="BD186" s="366">
        <f>(102*'Emissions Factors'!$F$10*'Calcs - Power'!$B185+'Emissions Factors'!$F$11*('Calcs - Power'!$C185+'Calcs - Power'!$D185+'Calcs - Power'!$E185+'Calcs - Power'!$F185))</f>
        <v>765753846.56615007</v>
      </c>
      <c r="BE186" s="359">
        <f>(102*'Emissions Factors'!$G$10*'Calcs - Power'!$G185+'Emissions Factors'!$G$11*('Calcs - Power'!H185+'Calcs - Power'!I185+'Calcs - Power'!J185+'Calcs - Power'!K185))</f>
        <v>7386998.8112835232</v>
      </c>
      <c r="BF186" s="366">
        <f>(102*'Emissions Factors'!$G$10*'Calcs - Power'!$B185+'Emissions Factors'!$G$11*('Calcs - Power'!C185+'Calcs - Power'!D185+'Calcs - Power'!E185+'Calcs - Power'!F185))</f>
        <v>737372803.05678105</v>
      </c>
    </row>
    <row r="187" spans="1:58" x14ac:dyDescent="0.3">
      <c r="A187" s="351">
        <f t="shared" si="30"/>
        <v>175</v>
      </c>
      <c r="B187" s="352">
        <f t="shared" si="24"/>
        <v>1</v>
      </c>
      <c r="C187" s="363">
        <f t="shared" si="25"/>
        <v>0.99999999999999978</v>
      </c>
      <c r="D187" s="352">
        <f t="shared" si="26"/>
        <v>1</v>
      </c>
      <c r="E187" s="364">
        <f t="shared" si="27"/>
        <v>1</v>
      </c>
      <c r="F187" s="364">
        <f t="shared" si="28"/>
        <v>1</v>
      </c>
      <c r="G187" s="365">
        <f t="shared" si="29"/>
        <v>1</v>
      </c>
      <c r="P187" s="358">
        <f t="shared" si="31"/>
        <v>175</v>
      </c>
      <c r="Q187" s="359">
        <f>(('Methane Leakage'!$C$6/'Methane Leakage'!$C$5)*102*'Emissions Factors'!$C$38*'Calcs - Power'!$G186+'Emissions Factors'!$C$37*('Calcs - Power'!$H186+'Calcs - Power'!$I186+'Calcs - Power'!$J186+'Calcs - Power'!$K186))</f>
        <v>38747.328186450177</v>
      </c>
      <c r="R187" s="366">
        <f>(('Methane Leakage'!$C$6/'Methane Leakage'!$C$5)*102*'Emissions Factors'!$C$38*'Calcs - Power'!$B186+'Emissions Factors'!$C$37*('Calcs - Power'!$C186+'Calcs - Power'!$D186+'Calcs - Power'!$E186+'Calcs - Power'!$F186))</f>
        <v>4104731.9598179832</v>
      </c>
      <c r="S187" s="359">
        <f>(('Methane Leakage'!$C$6/'Methane Leakage'!$C$5)*102*'Emissions Factors'!$D$38*'Calcs - Power'!$G186+'Emissions Factors'!$D$37*('Calcs - Power'!$H186+'Calcs - Power'!$I186+'Calcs - Power'!$J186+'Calcs - Power'!$K186))</f>
        <v>38747.328186450177</v>
      </c>
      <c r="T187" s="366">
        <f>(('Methane Leakage'!$C$6/'Methane Leakage'!$C$5)*102*'Emissions Factors'!$D$38*'Calcs - Power'!$B186+'Emissions Factors'!$D$37*('Calcs - Power'!$C186+'Calcs - Power'!$D186+'Calcs - Power'!$E186+'Calcs - Power'!$F186))</f>
        <v>4104731.9598179832</v>
      </c>
      <c r="U187" s="361">
        <f>(102*'Emissions Factors'!$C$36*'Calcs - Power'!$G186+'Emissions Factors'!$C$35*('Calcs - Power'!$H186+'Calcs - Power'!$I186+'Calcs - Power'!$J186+'Calcs - Power'!$K186))</f>
        <v>72180.645060088646</v>
      </c>
      <c r="V187" s="366">
        <f>(102*'Emissions Factors'!$C$36*'Calcs - Power'!$B186+'Emissions Factors'!$C$35*('Calcs - Power'!$C186+'Calcs - Power'!$D186+'Calcs - Power'!$E186+'Calcs - Power'!$F186))</f>
        <v>7231784.2895076917</v>
      </c>
      <c r="W187" s="359">
        <f>(102*'Emissions Factors'!$D$36*'Calcs - Power'!$G186+'Emissions Factors'!$D$35*('Calcs - Power'!$H186+'Calcs - Power'!$I186+'Calcs - Power'!$J186+'Calcs - Power'!$K186))</f>
        <v>72180.645060088646</v>
      </c>
      <c r="X187" s="366">
        <f>(102*'Emissions Factors'!$D$36*'Calcs - Power'!$B186+'Emissions Factors'!$D$35*('Calcs - Power'!$C186+'Calcs - Power'!$D186+'Calcs - Power'!$E186+'Calcs - Power'!$F186))</f>
        <v>7231784.2895076917</v>
      </c>
      <c r="Y187" s="359">
        <f>(102*'Emissions Factors'!$C$38*'Calcs - Power'!$G186+'Emissions Factors'!$C$37*('Calcs - Power'!$H186+'Calcs - Power'!$I186+'Calcs - Power'!$J186+'Calcs - Power'!$K186))</f>
        <v>38747.328186450177</v>
      </c>
      <c r="Z187" s="366">
        <f>(102*'Emissions Factors'!$C$38*'Calcs - Power'!$B186+'Emissions Factors'!$C$37*('Calcs - Power'!$C186+'Calcs - Power'!$D186+'Calcs - Power'!$E186+'Calcs - Power'!$F186))</f>
        <v>4104731.9598179832</v>
      </c>
      <c r="AA187" s="359">
        <f>(102*'Emissions Factors'!$C$36*'Calcs - Power'!$G186+'Emissions Factors'!$C$35*('Calcs - Power'!$H186+'Calcs - Power'!$I186+'Calcs - Power'!$J186+'Calcs - Power'!$K186))</f>
        <v>72180.645060088646</v>
      </c>
      <c r="AB187" s="366">
        <f>(102*'Emissions Factors'!$C$36*'Calcs - Power'!$B186+'Emissions Factors'!$C$35*('Calcs - Power'!$C186+'Calcs - Power'!$D186+'Calcs - Power'!$E186+'Calcs - Power'!$F186))</f>
        <v>7231784.2895076917</v>
      </c>
      <c r="AI187" s="358">
        <f t="shared" si="32"/>
        <v>175</v>
      </c>
      <c r="AJ187" s="359">
        <f>(('Methane Leakage'!$G$6/'Methane Leakage'!$G$5)*102*'Emissions Factors'!$D$10*'Calcs - Power'!$G186+'Emissions Factors'!$D$11*('Calcs - Power'!$H186+'Calcs - Power'!$I186+'Calcs - Power'!$J186+'Calcs - Power'!$K186))</f>
        <v>5281.6442214457466</v>
      </c>
      <c r="AK187" s="366">
        <f>(('Methane Leakage'!$G$6/'Methane Leakage'!$G$5)*102*'Emissions Factors'!$D$10*'Calcs - Power'!$B186+'Emissions Factors'!$D$11*('Calcs - Power'!$C186+'Calcs - Power'!$D186+'Calcs - Power'!$E186+'Calcs - Power'!$F186))</f>
        <v>570924.0351255968</v>
      </c>
      <c r="AL187" s="359">
        <f>(102*'Emissions Factors'!$E$10*'Calcs - Power'!$G186+'Emissions Factors'!$E$11*('Calcs - Power'!H186+'Calcs - Power'!I186+'Calcs - Power'!J186+'Calcs - Power'!K186))</f>
        <v>6418.1838746333178</v>
      </c>
      <c r="AM187" s="366">
        <f>(102*'Emissions Factors'!$E$10*'Calcs - Power'!$B186+'Emissions Factors'!$E$11*('Calcs - Power'!C186+'Calcs - Power'!D186+'Calcs - Power'!E186+'Calcs - Power'!F186))</f>
        <v>645866.90873033658</v>
      </c>
      <c r="AN187" s="359">
        <f>(102*'Emissions Factors'!$D$10*'Calcs - Power'!$G186+'Emissions Factors'!$D$11*('Calcs - Power'!$H186+'Calcs - Power'!$I186+'Calcs - Power'!$J186+'Calcs - Power'!$K186))</f>
        <v>5281.6442214457466</v>
      </c>
      <c r="AO187" s="366">
        <f>(102*'Emissions Factors'!$D$10*'Calcs - Power'!$B186+'Emissions Factors'!$D$11*('Calcs - Power'!$C186+'Calcs - Power'!$D186+'Calcs - Power'!$E186+'Calcs - Power'!$F186))</f>
        <v>570924.0351255968</v>
      </c>
      <c r="AP187" s="367">
        <f>(102*'Emissions Factors'!$E$10*'Calcs - Power'!$G186+'Emissions Factors'!$E$11*('Calcs - Power'!H186+'Calcs - Power'!I186+'Calcs - Power'!J186+'Calcs - Power'!K186))</f>
        <v>6418.1838746333178</v>
      </c>
      <c r="AQ187" s="366">
        <f>(102*'Emissions Factors'!$E$10*'Calcs - Power'!$B186+'Emissions Factors'!$E$11*('Calcs - Power'!C186+'Calcs - Power'!D186+'Calcs - Power'!E186+'Calcs - Power'!F186))</f>
        <v>645866.90873033658</v>
      </c>
      <c r="AS187" s="357"/>
      <c r="AT187" s="357"/>
      <c r="AU187" s="357"/>
      <c r="AV187" s="357"/>
      <c r="AX187" s="358">
        <f t="shared" si="33"/>
        <v>175</v>
      </c>
      <c r="AY187" s="359">
        <f>(('Methane Leakage'!$G$6/'Methane Leakage'!$G$5)*102*'Emissions Factors'!$F$10*'Calcs - Power'!$G186+'Emissions Factors'!$F$11*('Calcs - Power'!$H186+'Calcs - Power'!$I186+'Calcs - Power'!$J186+'Calcs - Power'!$K186))</f>
        <v>7306687.3839335321</v>
      </c>
      <c r="AZ187" s="366">
        <f>(('Methane Leakage'!$G$6/'Methane Leakage'!$G$5)*102*'Emissions Factors'!$F$10*'Calcs - Power'!$B186+'Emissions Factors'!$F$11*('Calcs - Power'!$C186+'Calcs - Power'!$D186+'Calcs - Power'!$E186+'Calcs - Power'!$F186))</f>
        <v>773046523.67045748</v>
      </c>
      <c r="BA187" s="359">
        <f>(102*'Emissions Factors'!$G$10*'Calcs - Power'!$G186+'Emissions Factors'!$G$11*('Calcs - Power'!H186+'Calcs - Power'!I186+'Calcs - Power'!J186+'Calcs - Power'!K186))</f>
        <v>7418141.8627051087</v>
      </c>
      <c r="BB187" s="366">
        <f>(102*'Emissions Factors'!$G$10*'Calcs - Power'!$B186+'Emissions Factors'!$G$11*('Calcs - Power'!C186+'Calcs - Power'!D186+'Calcs - Power'!E186+'Calcs - Power'!F186))</f>
        <v>744775377.95604956</v>
      </c>
      <c r="BC187" s="359">
        <f>(102*'Emissions Factors'!$F$10*'Calcs - Power'!$G186+'Emissions Factors'!$F$11*('Calcs - Power'!$H186+'Calcs - Power'!$I186+'Calcs - Power'!$J186+'Calcs - Power'!$K186))</f>
        <v>7306687.3839335321</v>
      </c>
      <c r="BD187" s="366">
        <f>(102*'Emissions Factors'!$F$10*'Calcs - Power'!$B186+'Emissions Factors'!$F$11*('Calcs - Power'!$C186+'Calcs - Power'!$D186+'Calcs - Power'!$E186+'Calcs - Power'!$F186))</f>
        <v>773046523.67045748</v>
      </c>
      <c r="BE187" s="359">
        <f>(102*'Emissions Factors'!$G$10*'Calcs - Power'!$G186+'Emissions Factors'!$G$11*('Calcs - Power'!H186+'Calcs - Power'!I186+'Calcs - Power'!J186+'Calcs - Power'!K186))</f>
        <v>7418141.8627051087</v>
      </c>
      <c r="BF187" s="366">
        <f>(102*'Emissions Factors'!$G$10*'Calcs - Power'!$B186+'Emissions Factors'!$G$11*('Calcs - Power'!C186+'Calcs - Power'!D186+'Calcs - Power'!E186+'Calcs - Power'!F186))</f>
        <v>744775377.95604956</v>
      </c>
    </row>
    <row r="188" spans="1:58" x14ac:dyDescent="0.3">
      <c r="A188" s="351">
        <f t="shared" si="30"/>
        <v>176</v>
      </c>
      <c r="B188" s="352">
        <f t="shared" si="24"/>
        <v>0.99999999999999978</v>
      </c>
      <c r="C188" s="363">
        <f t="shared" si="25"/>
        <v>1</v>
      </c>
      <c r="D188" s="352">
        <f t="shared" si="26"/>
        <v>1</v>
      </c>
      <c r="E188" s="364">
        <f t="shared" si="27"/>
        <v>1</v>
      </c>
      <c r="F188" s="364">
        <f t="shared" si="28"/>
        <v>1</v>
      </c>
      <c r="G188" s="365">
        <f t="shared" si="29"/>
        <v>1</v>
      </c>
      <c r="P188" s="358">
        <f t="shared" si="31"/>
        <v>176</v>
      </c>
      <c r="Q188" s="359">
        <f>(('Methane Leakage'!$C$6/'Methane Leakage'!$C$5)*102*'Emissions Factors'!$C$38*'Calcs - Power'!$G187+'Emissions Factors'!$C$37*('Calcs - Power'!$H187+'Calcs - Power'!$I187+'Calcs - Power'!$J187+'Calcs - Power'!$K187))</f>
        <v>38895.35129814985</v>
      </c>
      <c r="R188" s="366">
        <f>(('Methane Leakage'!$C$6/'Methane Leakage'!$C$5)*102*'Emissions Factors'!$C$38*'Calcs - Power'!$B187+'Emissions Factors'!$C$37*('Calcs - Power'!$C187+'Calcs - Power'!$D187+'Calcs - Power'!$E187+'Calcs - Power'!$F187))</f>
        <v>4143553.3211557223</v>
      </c>
      <c r="S188" s="359">
        <f>(('Methane Leakage'!$C$6/'Methane Leakage'!$C$5)*102*'Emissions Factors'!$D$38*'Calcs - Power'!$G187+'Emissions Factors'!$D$37*('Calcs - Power'!$H187+'Calcs - Power'!$I187+'Calcs - Power'!$J187+'Calcs - Power'!$K187))</f>
        <v>38895.35129814985</v>
      </c>
      <c r="T188" s="366">
        <f>(('Methane Leakage'!$C$6/'Methane Leakage'!$C$5)*102*'Emissions Factors'!$D$38*'Calcs - Power'!$B187+'Emissions Factors'!$D$37*('Calcs - Power'!$C187+'Calcs - Power'!$D187+'Calcs - Power'!$E187+'Calcs - Power'!$F187))</f>
        <v>4143553.3211557223</v>
      </c>
      <c r="U188" s="361">
        <f>(102*'Emissions Factors'!$C$36*'Calcs - Power'!$G187+'Emissions Factors'!$C$35*('Calcs - Power'!$H187+'Calcs - Power'!$I187+'Calcs - Power'!$J187+'Calcs - Power'!$K187))</f>
        <v>72484.15517023881</v>
      </c>
      <c r="V188" s="366">
        <f>(102*'Emissions Factors'!$C$36*'Calcs - Power'!$B187+'Emissions Factors'!$C$35*('Calcs - Power'!$C187+'Calcs - Power'!$D187+'Calcs - Power'!$E187+'Calcs - Power'!$F187))</f>
        <v>7304116.7339008246</v>
      </c>
      <c r="W188" s="359">
        <f>(102*'Emissions Factors'!$D$36*'Calcs - Power'!$G187+'Emissions Factors'!$D$35*('Calcs - Power'!$H187+'Calcs - Power'!$I187+'Calcs - Power'!$J187+'Calcs - Power'!$K187))</f>
        <v>72484.15517023881</v>
      </c>
      <c r="X188" s="366">
        <f>(102*'Emissions Factors'!$D$36*'Calcs - Power'!$B187+'Emissions Factors'!$D$35*('Calcs - Power'!$C187+'Calcs - Power'!$D187+'Calcs - Power'!$E187+'Calcs - Power'!$F187))</f>
        <v>7304116.7339008246</v>
      </c>
      <c r="Y188" s="359">
        <f>(102*'Emissions Factors'!$C$38*'Calcs - Power'!$G187+'Emissions Factors'!$C$37*('Calcs - Power'!$H187+'Calcs - Power'!$I187+'Calcs - Power'!$J187+'Calcs - Power'!$K187))</f>
        <v>38895.35129814985</v>
      </c>
      <c r="Z188" s="366">
        <f>(102*'Emissions Factors'!$C$38*'Calcs - Power'!$B187+'Emissions Factors'!$C$37*('Calcs - Power'!$C187+'Calcs - Power'!$D187+'Calcs - Power'!$E187+'Calcs - Power'!$F187))</f>
        <v>4143553.3211557223</v>
      </c>
      <c r="AA188" s="359">
        <f>(102*'Emissions Factors'!$C$36*'Calcs - Power'!$G187+'Emissions Factors'!$C$35*('Calcs - Power'!$H187+'Calcs - Power'!$I187+'Calcs - Power'!$J187+'Calcs - Power'!$K187))</f>
        <v>72484.15517023881</v>
      </c>
      <c r="AB188" s="366">
        <f>(102*'Emissions Factors'!$C$36*'Calcs - Power'!$B187+'Emissions Factors'!$C$35*('Calcs - Power'!$C187+'Calcs - Power'!$D187+'Calcs - Power'!$E187+'Calcs - Power'!$F187))</f>
        <v>7304116.7339008246</v>
      </c>
      <c r="AI188" s="358">
        <f t="shared" si="32"/>
        <v>176</v>
      </c>
      <c r="AJ188" s="359">
        <f>(('Methane Leakage'!$G$6/'Methane Leakage'!$G$5)*102*'Emissions Factors'!$D$10*'Calcs - Power'!$G187+'Emissions Factors'!$D$11*('Calcs - Power'!$H187+'Calcs - Power'!$I187+'Calcs - Power'!$J187+'Calcs - Power'!$K187))</f>
        <v>5301.0574944260252</v>
      </c>
      <c r="AK188" s="366">
        <f>(('Methane Leakage'!$G$6/'Methane Leakage'!$G$5)*102*'Emissions Factors'!$D$10*'Calcs - Power'!$B187+'Emissions Factors'!$D$11*('Calcs - Power'!$C187+'Calcs - Power'!$D187+'Calcs - Power'!$E187+'Calcs - Power'!$F187))</f>
        <v>576215.38881583104</v>
      </c>
      <c r="AL188" s="359">
        <f>(102*'Emissions Factors'!$E$10*'Calcs - Power'!$G187+'Emissions Factors'!$E$11*('Calcs - Power'!H187+'Calcs - Power'!I187+'Calcs - Power'!J187+'Calcs - Power'!K187))</f>
        <v>6444.9821328614216</v>
      </c>
      <c r="AM188" s="366">
        <f>(102*'Emissions Factors'!$E$10*'Calcs - Power'!$B187+'Emissions Factors'!$E$11*('Calcs - Power'!C187+'Calcs - Power'!D187+'Calcs - Power'!E187+'Calcs - Power'!F187))</f>
        <v>652298.49564359419</v>
      </c>
      <c r="AN188" s="359">
        <f>(102*'Emissions Factors'!$D$10*'Calcs - Power'!$G187+'Emissions Factors'!$D$11*('Calcs - Power'!$H187+'Calcs - Power'!$I187+'Calcs - Power'!$J187+'Calcs - Power'!$K187))</f>
        <v>5301.0574944260252</v>
      </c>
      <c r="AO188" s="366">
        <f>(102*'Emissions Factors'!$D$10*'Calcs - Power'!$B187+'Emissions Factors'!$D$11*('Calcs - Power'!$C187+'Calcs - Power'!$D187+'Calcs - Power'!$E187+'Calcs - Power'!$F187))</f>
        <v>576215.38881583104</v>
      </c>
      <c r="AP188" s="367">
        <f>(102*'Emissions Factors'!$E$10*'Calcs - Power'!$G187+'Emissions Factors'!$E$11*('Calcs - Power'!H187+'Calcs - Power'!I187+'Calcs - Power'!J187+'Calcs - Power'!K187))</f>
        <v>6444.9821328614216</v>
      </c>
      <c r="AQ188" s="366">
        <f>(102*'Emissions Factors'!$E$10*'Calcs - Power'!$B187+'Emissions Factors'!$E$11*('Calcs - Power'!C187+'Calcs - Power'!D187+'Calcs - Power'!E187+'Calcs - Power'!F187))</f>
        <v>652298.49564359419</v>
      </c>
      <c r="AS188" s="357"/>
      <c r="AT188" s="357"/>
      <c r="AU188" s="357"/>
      <c r="AV188" s="357"/>
      <c r="AX188" s="358">
        <f t="shared" si="33"/>
        <v>176</v>
      </c>
      <c r="AY188" s="359">
        <f>(('Methane Leakage'!$G$6/'Methane Leakage'!$G$5)*102*'Emissions Factors'!$F$10*'Calcs - Power'!$G187+'Emissions Factors'!$F$11*('Calcs - Power'!$H187+'Calcs - Power'!$I187+'Calcs - Power'!$J187+'Calcs - Power'!$K187))</f>
        <v>7334667.0263605369</v>
      </c>
      <c r="AZ188" s="366">
        <f>(('Methane Leakage'!$G$6/'Methane Leakage'!$G$5)*102*'Emissions Factors'!$F$10*'Calcs - Power'!$B187+'Emissions Factors'!$F$11*('Calcs - Power'!$C187+'Calcs - Power'!$D187+'Calcs - Power'!$E187+'Calcs - Power'!$F187))</f>
        <v>780367204.95761561</v>
      </c>
      <c r="BA188" s="359">
        <f>(102*'Emissions Factors'!$G$10*'Calcs - Power'!$G187+'Emissions Factors'!$G$11*('Calcs - Power'!H187+'Calcs - Power'!I187+'Calcs - Power'!J187+'Calcs - Power'!K187))</f>
        <v>7449230.3283050098</v>
      </c>
      <c r="BB188" s="366">
        <f>(102*'Emissions Factors'!$G$10*'Calcs - Power'!$B187+'Emissions Factors'!$G$11*('Calcs - Power'!C187+'Calcs - Power'!D187+'Calcs - Power'!E187+'Calcs - Power'!F187))</f>
        <v>752209068.58694232</v>
      </c>
      <c r="BC188" s="359">
        <f>(102*'Emissions Factors'!$F$10*'Calcs - Power'!$G187+'Emissions Factors'!$F$11*('Calcs - Power'!$H187+'Calcs - Power'!$I187+'Calcs - Power'!$J187+'Calcs - Power'!$K187))</f>
        <v>7334667.0263605369</v>
      </c>
      <c r="BD188" s="366">
        <f>(102*'Emissions Factors'!$F$10*'Calcs - Power'!$B187+'Emissions Factors'!$F$11*('Calcs - Power'!$C187+'Calcs - Power'!$D187+'Calcs - Power'!$E187+'Calcs - Power'!$F187))</f>
        <v>780367204.95761561</v>
      </c>
      <c r="BE188" s="359">
        <f>(102*'Emissions Factors'!$G$10*'Calcs - Power'!$G187+'Emissions Factors'!$G$11*('Calcs - Power'!H187+'Calcs - Power'!I187+'Calcs - Power'!J187+'Calcs - Power'!K187))</f>
        <v>7449230.3283050098</v>
      </c>
      <c r="BF188" s="366">
        <f>(102*'Emissions Factors'!$G$10*'Calcs - Power'!$B187+'Emissions Factors'!$G$11*('Calcs - Power'!C187+'Calcs - Power'!D187+'Calcs - Power'!E187+'Calcs - Power'!F187))</f>
        <v>752209068.58694232</v>
      </c>
    </row>
    <row r="189" spans="1:58" x14ac:dyDescent="0.3">
      <c r="A189" s="351">
        <f t="shared" si="30"/>
        <v>177</v>
      </c>
      <c r="B189" s="352">
        <f t="shared" si="24"/>
        <v>1</v>
      </c>
      <c r="C189" s="363">
        <f t="shared" si="25"/>
        <v>1</v>
      </c>
      <c r="D189" s="352">
        <f t="shared" si="26"/>
        <v>1</v>
      </c>
      <c r="E189" s="364">
        <f t="shared" si="27"/>
        <v>1</v>
      </c>
      <c r="F189" s="364">
        <f t="shared" si="28"/>
        <v>1</v>
      </c>
      <c r="G189" s="365">
        <f t="shared" si="29"/>
        <v>1</v>
      </c>
      <c r="P189" s="358">
        <f t="shared" si="31"/>
        <v>177</v>
      </c>
      <c r="Q189" s="359">
        <f>(('Methane Leakage'!$C$6/'Methane Leakage'!$C$5)*102*'Emissions Factors'!$C$38*'Calcs - Power'!$G188+'Emissions Factors'!$C$37*('Calcs - Power'!$H188+'Calcs - Power'!$I188+'Calcs - Power'!$J188+'Calcs - Power'!$K188))</f>
        <v>39043.116028521763</v>
      </c>
      <c r="R189" s="366">
        <f>(('Methane Leakage'!$C$6/'Methane Leakage'!$C$5)*102*'Emissions Factors'!$C$38*'Calcs - Power'!$B188+'Emissions Factors'!$C$37*('Calcs - Power'!$C188+'Calcs - Power'!$D188+'Calcs - Power'!$E188+'Calcs - Power'!$F188))</f>
        <v>4182522.5762872905</v>
      </c>
      <c r="S189" s="359">
        <f>(('Methane Leakage'!$C$6/'Methane Leakage'!$C$5)*102*'Emissions Factors'!$D$38*'Calcs - Power'!$G188+'Emissions Factors'!$D$37*('Calcs - Power'!$H188+'Calcs - Power'!$I188+'Calcs - Power'!$J188+'Calcs - Power'!$K188))</f>
        <v>39043.116028521763</v>
      </c>
      <c r="T189" s="366">
        <f>(('Methane Leakage'!$C$6/'Methane Leakage'!$C$5)*102*'Emissions Factors'!$D$38*'Calcs - Power'!$B188+'Emissions Factors'!$D$37*('Calcs - Power'!$C188+'Calcs - Power'!$D188+'Calcs - Power'!$E188+'Calcs - Power'!$F188))</f>
        <v>4182522.5762872905</v>
      </c>
      <c r="U189" s="361">
        <f>(102*'Emissions Factors'!$C$36*'Calcs - Power'!$G188+'Emissions Factors'!$C$35*('Calcs - Power'!$H188+'Calcs - Power'!$I188+'Calcs - Power'!$J188+'Calcs - Power'!$K188))</f>
        <v>72787.135510255946</v>
      </c>
      <c r="V189" s="366">
        <f>(102*'Emissions Factors'!$C$36*'Calcs - Power'!$B188+'Emissions Factors'!$C$35*('Calcs - Power'!$C188+'Calcs - Power'!$D188+'Calcs - Power'!$E188+'Calcs - Power'!$F188))</f>
        <v>7376752.4232583633</v>
      </c>
      <c r="W189" s="359">
        <f>(102*'Emissions Factors'!$D$36*'Calcs - Power'!$G188+'Emissions Factors'!$D$35*('Calcs - Power'!$H188+'Calcs - Power'!$I188+'Calcs - Power'!$J188+'Calcs - Power'!$K188))</f>
        <v>72787.135510255946</v>
      </c>
      <c r="X189" s="366">
        <f>(102*'Emissions Factors'!$D$36*'Calcs - Power'!$B188+'Emissions Factors'!$D$35*('Calcs - Power'!$C188+'Calcs - Power'!$D188+'Calcs - Power'!$E188+'Calcs - Power'!$F188))</f>
        <v>7376752.4232583633</v>
      </c>
      <c r="Y189" s="359">
        <f>(102*'Emissions Factors'!$C$38*'Calcs - Power'!$G188+'Emissions Factors'!$C$37*('Calcs - Power'!$H188+'Calcs - Power'!$I188+'Calcs - Power'!$J188+'Calcs - Power'!$K188))</f>
        <v>39043.116028521763</v>
      </c>
      <c r="Z189" s="366">
        <f>(102*'Emissions Factors'!$C$38*'Calcs - Power'!$B188+'Emissions Factors'!$C$37*('Calcs - Power'!$C188+'Calcs - Power'!$D188+'Calcs - Power'!$E188+'Calcs - Power'!$F188))</f>
        <v>4182522.5762872905</v>
      </c>
      <c r="AA189" s="359">
        <f>(102*'Emissions Factors'!$C$36*'Calcs - Power'!$G188+'Emissions Factors'!$C$35*('Calcs - Power'!$H188+'Calcs - Power'!$I188+'Calcs - Power'!$J188+'Calcs - Power'!$K188))</f>
        <v>72787.135510255946</v>
      </c>
      <c r="AB189" s="366">
        <f>(102*'Emissions Factors'!$C$36*'Calcs - Power'!$B188+'Emissions Factors'!$C$35*('Calcs - Power'!$C188+'Calcs - Power'!$D188+'Calcs - Power'!$E188+'Calcs - Power'!$F188))</f>
        <v>7376752.4232583633</v>
      </c>
      <c r="AI189" s="358">
        <f t="shared" si="32"/>
        <v>177</v>
      </c>
      <c r="AJ189" s="359">
        <f>(('Methane Leakage'!$G$6/'Methane Leakage'!$G$5)*102*'Emissions Factors'!$D$10*'Calcs - Power'!$G188+'Emissions Factors'!$D$11*('Calcs - Power'!$H188+'Calcs - Power'!$I188+'Calcs - Power'!$J188+'Calcs - Power'!$K188))</f>
        <v>5320.4368800419497</v>
      </c>
      <c r="AK189" s="366">
        <f>(('Methane Leakage'!$G$6/'Methane Leakage'!$G$5)*102*'Emissions Factors'!$D$10*'Calcs - Power'!$B188+'Emissions Factors'!$D$11*('Calcs - Power'!$C188+'Calcs - Power'!$D188+'Calcs - Power'!$E188+'Calcs - Power'!$F188))</f>
        <v>581526.13881867612</v>
      </c>
      <c r="AL189" s="359">
        <f>(102*'Emissions Factors'!$E$10*'Calcs - Power'!$G188+'Emissions Factors'!$E$11*('Calcs - Power'!H188+'Calcs - Power'!I188+'Calcs - Power'!J188+'Calcs - Power'!K188))</f>
        <v>6471.7336151963564</v>
      </c>
      <c r="AM189" s="366">
        <f>(102*'Emissions Factors'!$E$10*'Calcs - Power'!$B188+'Emissions Factors'!$E$11*('Calcs - Power'!C188+'Calcs - Power'!D188+'Calcs - Power'!E188+'Calcs - Power'!F188))</f>
        <v>658756.85740411608</v>
      </c>
      <c r="AN189" s="359">
        <f>(102*'Emissions Factors'!$D$10*'Calcs - Power'!$G188+'Emissions Factors'!$D$11*('Calcs - Power'!$H188+'Calcs - Power'!$I188+'Calcs - Power'!$J188+'Calcs - Power'!$K188))</f>
        <v>5320.4368800419497</v>
      </c>
      <c r="AO189" s="366">
        <f>(102*'Emissions Factors'!$D$10*'Calcs - Power'!$B188+'Emissions Factors'!$D$11*('Calcs - Power'!$C188+'Calcs - Power'!$D188+'Calcs - Power'!$E188+'Calcs - Power'!$F188))</f>
        <v>581526.13881867612</v>
      </c>
      <c r="AP189" s="367">
        <f>(102*'Emissions Factors'!$E$10*'Calcs - Power'!$G188+'Emissions Factors'!$E$11*('Calcs - Power'!H188+'Calcs - Power'!I188+'Calcs - Power'!J188+'Calcs - Power'!K188))</f>
        <v>6471.7336151963564</v>
      </c>
      <c r="AQ189" s="366">
        <f>(102*'Emissions Factors'!$E$10*'Calcs - Power'!$B188+'Emissions Factors'!$E$11*('Calcs - Power'!C188+'Calcs - Power'!D188+'Calcs - Power'!E188+'Calcs - Power'!F188))</f>
        <v>658756.85740411608</v>
      </c>
      <c r="AS189" s="357"/>
      <c r="AT189" s="357"/>
      <c r="AU189" s="357"/>
      <c r="AV189" s="357"/>
      <c r="AX189" s="358">
        <f t="shared" si="33"/>
        <v>177</v>
      </c>
      <c r="AY189" s="359">
        <f>(('Methane Leakage'!$G$6/'Methane Leakage'!$G$5)*102*'Emissions Factors'!$F$10*'Calcs - Power'!$G188+'Emissions Factors'!$F$11*('Calcs - Power'!$H188+'Calcs - Power'!$I188+'Calcs - Power'!$J188+'Calcs - Power'!$K188))</f>
        <v>7362597.8290516539</v>
      </c>
      <c r="AZ189" s="366">
        <f>(('Methane Leakage'!$G$6/'Methane Leakage'!$G$5)*102*'Emissions Factors'!$F$10*'Calcs - Power'!$B188+'Emissions Factors'!$F$11*('Calcs - Power'!$C188+'Calcs - Power'!$D188+'Calcs - Power'!$E188+'Calcs - Power'!$F188))</f>
        <v>787715841.44328856</v>
      </c>
      <c r="BA189" s="359">
        <f>(102*'Emissions Factors'!$G$10*'Calcs - Power'!$G188+'Emissions Factors'!$G$11*('Calcs - Power'!H188+'Calcs - Power'!I188+'Calcs - Power'!J188+'Calcs - Power'!K188))</f>
        <v>7480264.5296094008</v>
      </c>
      <c r="BB189" s="366">
        <f>(102*'Emissions Factors'!$G$10*'Calcs - Power'!$B188+'Emissions Factors'!$G$11*('Calcs - Power'!C188+'Calcs - Power'!D188+'Calcs - Power'!E188+'Calcs - Power'!F188))</f>
        <v>759673820.52458549</v>
      </c>
      <c r="BC189" s="359">
        <f>(102*'Emissions Factors'!$F$10*'Calcs - Power'!$G188+'Emissions Factors'!$F$11*('Calcs - Power'!$H188+'Calcs - Power'!$I188+'Calcs - Power'!$J188+'Calcs - Power'!$K188))</f>
        <v>7362597.8290516539</v>
      </c>
      <c r="BD189" s="366">
        <f>(102*'Emissions Factors'!$F$10*'Calcs - Power'!$B188+'Emissions Factors'!$F$11*('Calcs - Power'!$C188+'Calcs - Power'!$D188+'Calcs - Power'!$E188+'Calcs - Power'!$F188))</f>
        <v>787715841.44328856</v>
      </c>
      <c r="BE189" s="359">
        <f>(102*'Emissions Factors'!$G$10*'Calcs - Power'!$G188+'Emissions Factors'!$G$11*('Calcs - Power'!H188+'Calcs - Power'!I188+'Calcs - Power'!J188+'Calcs - Power'!K188))</f>
        <v>7480264.5296094008</v>
      </c>
      <c r="BF189" s="366">
        <f>(102*'Emissions Factors'!$G$10*'Calcs - Power'!$B188+'Emissions Factors'!$G$11*('Calcs - Power'!C188+'Calcs - Power'!D188+'Calcs - Power'!E188+'Calcs - Power'!F188))</f>
        <v>759673820.52458549</v>
      </c>
    </row>
    <row r="190" spans="1:58" x14ac:dyDescent="0.3">
      <c r="A190" s="351">
        <f t="shared" si="30"/>
        <v>178</v>
      </c>
      <c r="B190" s="352">
        <f t="shared" si="24"/>
        <v>0.99999999999999978</v>
      </c>
      <c r="C190" s="363">
        <f t="shared" si="25"/>
        <v>0.99999999999999978</v>
      </c>
      <c r="D190" s="352">
        <f t="shared" si="26"/>
        <v>1</v>
      </c>
      <c r="E190" s="364">
        <f t="shared" si="27"/>
        <v>1</v>
      </c>
      <c r="F190" s="364">
        <f t="shared" si="28"/>
        <v>1</v>
      </c>
      <c r="G190" s="365">
        <f t="shared" si="29"/>
        <v>1</v>
      </c>
      <c r="P190" s="358">
        <f t="shared" si="31"/>
        <v>178</v>
      </c>
      <c r="Q190" s="359">
        <f>(('Methane Leakage'!$C$6/'Methane Leakage'!$C$5)*102*'Emissions Factors'!$C$38*'Calcs - Power'!$G189+'Emissions Factors'!$C$37*('Calcs - Power'!$H189+'Calcs - Power'!$I189+'Calcs - Power'!$J189+'Calcs - Power'!$K189))</f>
        <v>39190.623898758866</v>
      </c>
      <c r="R190" s="366">
        <f>(('Methane Leakage'!$C$6/'Methane Leakage'!$C$5)*102*'Emissions Factors'!$C$38*'Calcs - Power'!$B189+'Emissions Factors'!$C$37*('Calcs - Power'!$C189+'Calcs - Power'!$D189+'Calcs - Power'!$E189+'Calcs - Power'!$F189))</f>
        <v>4221639.4675928373</v>
      </c>
      <c r="S190" s="359">
        <f>(('Methane Leakage'!$C$6/'Methane Leakage'!$C$5)*102*'Emissions Factors'!$D$38*'Calcs - Power'!$G189+'Emissions Factors'!$D$37*('Calcs - Power'!$H189+'Calcs - Power'!$I189+'Calcs - Power'!$J189+'Calcs - Power'!$K189))</f>
        <v>39190.623898758866</v>
      </c>
      <c r="T190" s="366">
        <f>(('Methane Leakage'!$C$6/'Methane Leakage'!$C$5)*102*'Emissions Factors'!$D$38*'Calcs - Power'!$B189+'Emissions Factors'!$D$37*('Calcs - Power'!$C189+'Calcs - Power'!$D189+'Calcs - Power'!$E189+'Calcs - Power'!$F189))</f>
        <v>4221639.4675928373</v>
      </c>
      <c r="U190" s="361">
        <f>(102*'Emissions Factors'!$C$36*'Calcs - Power'!$G189+'Emissions Factors'!$C$35*('Calcs - Power'!$H189+'Calcs - Power'!$I189+'Calcs - Power'!$J189+'Calcs - Power'!$K189))</f>
        <v>73089.58919750918</v>
      </c>
      <c r="V190" s="366">
        <f>(102*'Emissions Factors'!$C$36*'Calcs - Power'!$B189+'Emissions Factors'!$C$35*('Calcs - Power'!$C189+'Calcs - Power'!$D189+'Calcs - Power'!$E189+'Calcs - Power'!$F189))</f>
        <v>7449690.8293706514</v>
      </c>
      <c r="W190" s="359">
        <f>(102*'Emissions Factors'!$D$36*'Calcs - Power'!$G189+'Emissions Factors'!$D$35*('Calcs - Power'!$H189+'Calcs - Power'!$I189+'Calcs - Power'!$J189+'Calcs - Power'!$K189))</f>
        <v>73089.58919750918</v>
      </c>
      <c r="X190" s="366">
        <f>(102*'Emissions Factors'!$D$36*'Calcs - Power'!$B189+'Emissions Factors'!$D$35*('Calcs - Power'!$C189+'Calcs - Power'!$D189+'Calcs - Power'!$E189+'Calcs - Power'!$F189))</f>
        <v>7449690.8293706514</v>
      </c>
      <c r="Y190" s="359">
        <f>(102*'Emissions Factors'!$C$38*'Calcs - Power'!$G189+'Emissions Factors'!$C$37*('Calcs - Power'!$H189+'Calcs - Power'!$I189+'Calcs - Power'!$J189+'Calcs - Power'!$K189))</f>
        <v>39190.623898758866</v>
      </c>
      <c r="Z190" s="366">
        <f>(102*'Emissions Factors'!$C$38*'Calcs - Power'!$B189+'Emissions Factors'!$C$37*('Calcs - Power'!$C189+'Calcs - Power'!$D189+'Calcs - Power'!$E189+'Calcs - Power'!$F189))</f>
        <v>4221639.4675928373</v>
      </c>
      <c r="AA190" s="359">
        <f>(102*'Emissions Factors'!$C$36*'Calcs - Power'!$G189+'Emissions Factors'!$C$35*('Calcs - Power'!$H189+'Calcs - Power'!$I189+'Calcs - Power'!$J189+'Calcs - Power'!$K189))</f>
        <v>73089.58919750918</v>
      </c>
      <c r="AB190" s="366">
        <f>(102*'Emissions Factors'!$C$36*'Calcs - Power'!$B189+'Emissions Factors'!$C$35*('Calcs - Power'!$C189+'Calcs - Power'!$D189+'Calcs - Power'!$E189+'Calcs - Power'!$F189))</f>
        <v>7449690.8293706514</v>
      </c>
      <c r="AI190" s="358">
        <f t="shared" si="32"/>
        <v>178</v>
      </c>
      <c r="AJ190" s="359">
        <f>(('Methane Leakage'!$G$6/'Methane Leakage'!$G$5)*102*'Emissions Factors'!$D$10*'Calcs - Power'!$G189+'Emissions Factors'!$D$11*('Calcs - Power'!$H189+'Calcs - Power'!$I189+'Calcs - Power'!$J189+'Calcs - Power'!$K189))</f>
        <v>5339.7825778457473</v>
      </c>
      <c r="AK190" s="366">
        <f>(('Methane Leakage'!$G$6/'Methane Leakage'!$G$5)*102*'Emissions Factors'!$D$10*'Calcs - Power'!$B189+'Emissions Factors'!$D$11*('Calcs - Power'!$C189+'Calcs - Power'!$D189+'Calcs - Power'!$E189+'Calcs - Power'!$F189))</f>
        <v>586856.2513466595</v>
      </c>
      <c r="AL190" s="359">
        <f>(102*'Emissions Factors'!$E$10*'Calcs - Power'!$G189+'Emissions Factors'!$E$11*('Calcs - Power'!H189+'Calcs - Power'!I189+'Calcs - Power'!J189+'Calcs - Power'!K189))</f>
        <v>6498.4385968951819</v>
      </c>
      <c r="AM190" s="366">
        <f>(102*'Emissions Factors'!$E$10*'Calcs - Power'!$B189+'Emissions Factors'!$E$11*('Calcs - Power'!C189+'Calcs - Power'!D189+'Calcs - Power'!E189+'Calcs - Power'!F189))</f>
        <v>665241.94737379579</v>
      </c>
      <c r="AN190" s="359">
        <f>(102*'Emissions Factors'!$D$10*'Calcs - Power'!$G189+'Emissions Factors'!$D$11*('Calcs - Power'!$H189+'Calcs - Power'!$I189+'Calcs - Power'!$J189+'Calcs - Power'!$K189))</f>
        <v>5339.7825778457473</v>
      </c>
      <c r="AO190" s="366">
        <f>(102*'Emissions Factors'!$D$10*'Calcs - Power'!$B189+'Emissions Factors'!$D$11*('Calcs - Power'!$C189+'Calcs - Power'!$D189+'Calcs - Power'!$E189+'Calcs - Power'!$F189))</f>
        <v>586856.2513466595</v>
      </c>
      <c r="AP190" s="367">
        <f>(102*'Emissions Factors'!$E$10*'Calcs - Power'!$G189+'Emissions Factors'!$E$11*('Calcs - Power'!H189+'Calcs - Power'!I189+'Calcs - Power'!J189+'Calcs - Power'!K189))</f>
        <v>6498.4385968951819</v>
      </c>
      <c r="AQ190" s="366">
        <f>(102*'Emissions Factors'!$E$10*'Calcs - Power'!$B189+'Emissions Factors'!$E$11*('Calcs - Power'!C189+'Calcs - Power'!D189+'Calcs - Power'!E189+'Calcs - Power'!F189))</f>
        <v>665241.94737379579</v>
      </c>
      <c r="AS190" s="357"/>
      <c r="AT190" s="357"/>
      <c r="AU190" s="357"/>
      <c r="AV190" s="357"/>
      <c r="AX190" s="358">
        <f t="shared" si="33"/>
        <v>178</v>
      </c>
      <c r="AY190" s="359">
        <f>(('Methane Leakage'!$G$6/'Methane Leakage'!$G$5)*102*'Emissions Factors'!$F$10*'Calcs - Power'!$G189+'Emissions Factors'!$F$11*('Calcs - Power'!$H189+'Calcs - Power'!$I189+'Calcs - Power'!$J189+'Calcs - Power'!$K189))</f>
        <v>7390480.0795418778</v>
      </c>
      <c r="AZ190" s="366">
        <f>(('Methane Leakage'!$G$6/'Methane Leakage'!$G$5)*102*'Emissions Factors'!$F$10*'Calcs - Power'!$B189+'Emissions Factors'!$F$11*('Calcs - Power'!$C189+'Calcs - Power'!$D189+'Calcs - Power'!$E189+'Calcs - Power'!$F189))</f>
        <v>795092384.43167388</v>
      </c>
      <c r="BA190" s="359">
        <f>(102*'Emissions Factors'!$G$10*'Calcs - Power'!$G189+'Emissions Factors'!$G$11*('Calcs - Power'!H189+'Calcs - Power'!I189+'Calcs - Power'!J189+'Calcs - Power'!K189))</f>
        <v>7511244.7859354848</v>
      </c>
      <c r="BB190" s="366">
        <f>(102*'Emissions Factors'!$G$10*'Calcs - Power'!$B189+'Emissions Factors'!$G$11*('Calcs - Power'!C189+'Calcs - Power'!D189+'Calcs - Power'!E189+'Calcs - Power'!F189))</f>
        <v>767169579.66452587</v>
      </c>
      <c r="BC190" s="359">
        <f>(102*'Emissions Factors'!$F$10*'Calcs - Power'!$G189+'Emissions Factors'!$F$11*('Calcs - Power'!$H189+'Calcs - Power'!$I189+'Calcs - Power'!$J189+'Calcs - Power'!$K189))</f>
        <v>7390480.0795418778</v>
      </c>
      <c r="BD190" s="366">
        <f>(102*'Emissions Factors'!$F$10*'Calcs - Power'!$B189+'Emissions Factors'!$F$11*('Calcs - Power'!$C189+'Calcs - Power'!$D189+'Calcs - Power'!$E189+'Calcs - Power'!$F189))</f>
        <v>795092384.43167388</v>
      </c>
      <c r="BE190" s="359">
        <f>(102*'Emissions Factors'!$G$10*'Calcs - Power'!$G189+'Emissions Factors'!$G$11*('Calcs - Power'!H189+'Calcs - Power'!I189+'Calcs - Power'!J189+'Calcs - Power'!K189))</f>
        <v>7511244.7859354848</v>
      </c>
      <c r="BF190" s="366">
        <f>(102*'Emissions Factors'!$G$10*'Calcs - Power'!$B189+'Emissions Factors'!$G$11*('Calcs - Power'!C189+'Calcs - Power'!D189+'Calcs - Power'!E189+'Calcs - Power'!F189))</f>
        <v>767169579.66452587</v>
      </c>
    </row>
    <row r="191" spans="1:58" x14ac:dyDescent="0.3">
      <c r="A191" s="351">
        <f t="shared" si="30"/>
        <v>179</v>
      </c>
      <c r="B191" s="352">
        <f t="shared" si="24"/>
        <v>1</v>
      </c>
      <c r="C191" s="363">
        <f t="shared" si="25"/>
        <v>0.99999999999999978</v>
      </c>
      <c r="D191" s="352">
        <f t="shared" si="26"/>
        <v>1</v>
      </c>
      <c r="E191" s="364">
        <f t="shared" si="27"/>
        <v>1</v>
      </c>
      <c r="F191" s="364">
        <f t="shared" si="28"/>
        <v>1</v>
      </c>
      <c r="G191" s="365">
        <f t="shared" si="29"/>
        <v>1</v>
      </c>
      <c r="P191" s="358">
        <f t="shared" si="31"/>
        <v>179</v>
      </c>
      <c r="Q191" s="359">
        <f>(('Methane Leakage'!$C$6/'Methane Leakage'!$C$5)*102*'Emissions Factors'!$C$38*'Calcs - Power'!$G190+'Emissions Factors'!$C$37*('Calcs - Power'!$H190+'Calcs - Power'!$I190+'Calcs - Power'!$J190+'Calcs - Power'!$K190))</f>
        <v>39337.876419621207</v>
      </c>
      <c r="R191" s="366">
        <f>(('Methane Leakage'!$C$6/'Methane Leakage'!$C$5)*102*'Emissions Factors'!$C$38*'Calcs - Power'!$B190+'Emissions Factors'!$C$37*('Calcs - Power'!$C190+'Calcs - Power'!$D190+'Calcs - Power'!$E190+'Calcs - Power'!$F190))</f>
        <v>4260903.7389684645</v>
      </c>
      <c r="S191" s="359">
        <f>(('Methane Leakage'!$C$6/'Methane Leakage'!$C$5)*102*'Emissions Factors'!$D$38*'Calcs - Power'!$G190+'Emissions Factors'!$D$37*('Calcs - Power'!$H190+'Calcs - Power'!$I190+'Calcs - Power'!$J190+'Calcs - Power'!$K190))</f>
        <v>39337.876419621207</v>
      </c>
      <c r="T191" s="366">
        <f>(('Methane Leakage'!$C$6/'Methane Leakage'!$C$5)*102*'Emissions Factors'!$D$38*'Calcs - Power'!$B190+'Emissions Factors'!$D$37*('Calcs - Power'!$C190+'Calcs - Power'!$D190+'Calcs - Power'!$E190+'Calcs - Power'!$F190))</f>
        <v>4260903.7389684645</v>
      </c>
      <c r="U191" s="361">
        <f>(102*'Emissions Factors'!$C$36*'Calcs - Power'!$G190+'Emissions Factors'!$C$35*('Calcs - Power'!$H190+'Calcs - Power'!$I190+'Calcs - Power'!$J190+'Calcs - Power'!$K190))</f>
        <v>73391.519328113645</v>
      </c>
      <c r="V191" s="366">
        <f>(102*'Emissions Factors'!$C$36*'Calcs - Power'!$B190+'Emissions Factors'!$C$35*('Calcs - Power'!$C190+'Calcs - Power'!$D190+'Calcs - Power'!$E190+'Calcs - Power'!$F190))</f>
        <v>7522931.4271347327</v>
      </c>
      <c r="W191" s="359">
        <f>(102*'Emissions Factors'!$D$36*'Calcs - Power'!$G190+'Emissions Factors'!$D$35*('Calcs - Power'!$H190+'Calcs - Power'!$I190+'Calcs - Power'!$J190+'Calcs - Power'!$K190))</f>
        <v>73391.519328113645</v>
      </c>
      <c r="X191" s="366">
        <f>(102*'Emissions Factors'!$D$36*'Calcs - Power'!$B190+'Emissions Factors'!$D$35*('Calcs - Power'!$C190+'Calcs - Power'!$D190+'Calcs - Power'!$E190+'Calcs - Power'!$F190))</f>
        <v>7522931.4271347327</v>
      </c>
      <c r="Y191" s="359">
        <f>(102*'Emissions Factors'!$C$38*'Calcs - Power'!$G190+'Emissions Factors'!$C$37*('Calcs - Power'!$H190+'Calcs - Power'!$I190+'Calcs - Power'!$J190+'Calcs - Power'!$K190))</f>
        <v>39337.876419621207</v>
      </c>
      <c r="Z191" s="366">
        <f>(102*'Emissions Factors'!$C$38*'Calcs - Power'!$B190+'Emissions Factors'!$C$37*('Calcs - Power'!$C190+'Calcs - Power'!$D190+'Calcs - Power'!$E190+'Calcs - Power'!$F190))</f>
        <v>4260903.7389684645</v>
      </c>
      <c r="AA191" s="359">
        <f>(102*'Emissions Factors'!$C$36*'Calcs - Power'!$G190+'Emissions Factors'!$C$35*('Calcs - Power'!$H190+'Calcs - Power'!$I190+'Calcs - Power'!$J190+'Calcs - Power'!$K190))</f>
        <v>73391.519328113645</v>
      </c>
      <c r="AB191" s="366">
        <f>(102*'Emissions Factors'!$C$36*'Calcs - Power'!$B190+'Emissions Factors'!$C$35*('Calcs - Power'!$C190+'Calcs - Power'!$D190+'Calcs - Power'!$E190+'Calcs - Power'!$F190))</f>
        <v>7522931.4271347327</v>
      </c>
      <c r="AI191" s="358">
        <f t="shared" si="32"/>
        <v>179</v>
      </c>
      <c r="AJ191" s="359">
        <f>(('Methane Leakage'!$G$6/'Methane Leakage'!$G$5)*102*'Emissions Factors'!$D$10*'Calcs - Power'!$G190+'Emissions Factors'!$D$11*('Calcs - Power'!$H190+'Calcs - Power'!$I190+'Calcs - Power'!$J190+'Calcs - Power'!$K190))</f>
        <v>5359.0947860175766</v>
      </c>
      <c r="AK191" s="366">
        <f>(('Methane Leakage'!$G$6/'Methane Leakage'!$G$5)*102*'Emissions Factors'!$D$10*'Calcs - Power'!$B190+'Emissions Factors'!$D$11*('Calcs - Power'!$C190+'Calcs - Power'!$D190+'Calcs - Power'!$E190+'Calcs - Power'!$F190))</f>
        <v>592205.69281117211</v>
      </c>
      <c r="AL191" s="359">
        <f>(102*'Emissions Factors'!$E$10*'Calcs - Power'!$G190+'Emissions Factors'!$E$11*('Calcs - Power'!H190+'Calcs - Power'!I190+'Calcs - Power'!J190+'Calcs - Power'!K190))</f>
        <v>6525.0973513374902</v>
      </c>
      <c r="AM191" s="366">
        <f>(102*'Emissions Factors'!$E$10*'Calcs - Power'!$B190+'Emissions Factors'!$E$11*('Calcs - Power'!C190+'Calcs - Power'!D190+'Calcs - Power'!E190+'Calcs - Power'!F190))</f>
        <v>671753.71918884164</v>
      </c>
      <c r="AN191" s="359">
        <f>(102*'Emissions Factors'!$D$10*'Calcs - Power'!$G190+'Emissions Factors'!$D$11*('Calcs - Power'!$H190+'Calcs - Power'!$I190+'Calcs - Power'!$J190+'Calcs - Power'!$K190))</f>
        <v>5359.0947860175766</v>
      </c>
      <c r="AO191" s="366">
        <f>(102*'Emissions Factors'!$D$10*'Calcs - Power'!$B190+'Emissions Factors'!$D$11*('Calcs - Power'!$C190+'Calcs - Power'!$D190+'Calcs - Power'!$E190+'Calcs - Power'!$F190))</f>
        <v>592205.69281117211</v>
      </c>
      <c r="AP191" s="367">
        <f>(102*'Emissions Factors'!$E$10*'Calcs - Power'!$G190+'Emissions Factors'!$E$11*('Calcs - Power'!H190+'Calcs - Power'!I190+'Calcs - Power'!J190+'Calcs - Power'!K190))</f>
        <v>6525.0973513374902</v>
      </c>
      <c r="AQ191" s="366">
        <f>(102*'Emissions Factors'!$E$10*'Calcs - Power'!$B190+'Emissions Factors'!$E$11*('Calcs - Power'!C190+'Calcs - Power'!D190+'Calcs - Power'!E190+'Calcs - Power'!F190))</f>
        <v>671753.71918884164</v>
      </c>
      <c r="AS191" s="357"/>
      <c r="AT191" s="357"/>
      <c r="AU191" s="357"/>
      <c r="AV191" s="357"/>
      <c r="AX191" s="358">
        <f t="shared" si="33"/>
        <v>179</v>
      </c>
      <c r="AY191" s="359">
        <f>(('Methane Leakage'!$G$6/'Methane Leakage'!$G$5)*102*'Emissions Factors'!$F$10*'Calcs - Power'!$G190+'Emissions Factors'!$F$11*('Calcs - Power'!$H190+'Calcs - Power'!$I190+'Calcs - Power'!$J190+'Calcs - Power'!$K190))</f>
        <v>7418314.0633944813</v>
      </c>
      <c r="AZ191" s="366">
        <f>(('Methane Leakage'!$G$6/'Methane Leakage'!$G$5)*102*'Emissions Factors'!$F$10*'Calcs - Power'!$B190+'Emissions Factors'!$F$11*('Calcs - Power'!$C190+'Calcs - Power'!$D190+'Calcs - Power'!$E190+'Calcs - Power'!$F190))</f>
        <v>802496785.51351488</v>
      </c>
      <c r="BA191" s="359">
        <f>(102*'Emissions Factors'!$G$10*'Calcs - Power'!$G190+'Emissions Factors'!$G$11*('Calcs - Power'!H190+'Calcs - Power'!I190+'Calcs - Power'!J190+'Calcs - Power'!K190))</f>
        <v>7542171.414422947</v>
      </c>
      <c r="BB191" s="366">
        <f>(102*'Emissions Factors'!$G$10*'Calcs - Power'!$B190+'Emissions Factors'!$G$11*('Calcs - Power'!C190+'Calcs - Power'!D190+'Calcs - Power'!E190+'Calcs - Power'!F190))</f>
        <v>774696292.22053421</v>
      </c>
      <c r="BC191" s="359">
        <f>(102*'Emissions Factors'!$F$10*'Calcs - Power'!$G190+'Emissions Factors'!$F$11*('Calcs - Power'!$H190+'Calcs - Power'!$I190+'Calcs - Power'!$J190+'Calcs - Power'!$K190))</f>
        <v>7418314.0633944813</v>
      </c>
      <c r="BD191" s="366">
        <f>(102*'Emissions Factors'!$F$10*'Calcs - Power'!$B190+'Emissions Factors'!$F$11*('Calcs - Power'!$C190+'Calcs - Power'!$D190+'Calcs - Power'!$E190+'Calcs - Power'!$F190))</f>
        <v>802496785.51351488</v>
      </c>
      <c r="BE191" s="359">
        <f>(102*'Emissions Factors'!$G$10*'Calcs - Power'!$G190+'Emissions Factors'!$G$11*('Calcs - Power'!H190+'Calcs - Power'!I190+'Calcs - Power'!J190+'Calcs - Power'!K190))</f>
        <v>7542171.414422947</v>
      </c>
      <c r="BF191" s="366">
        <f>(102*'Emissions Factors'!$G$10*'Calcs - Power'!$B190+'Emissions Factors'!$G$11*('Calcs - Power'!C190+'Calcs - Power'!D190+'Calcs - Power'!E190+'Calcs - Power'!F190))</f>
        <v>774696292.22053421</v>
      </c>
    </row>
    <row r="192" spans="1:58" x14ac:dyDescent="0.3">
      <c r="A192" s="351">
        <f t="shared" si="30"/>
        <v>180</v>
      </c>
      <c r="B192" s="352">
        <f t="shared" si="24"/>
        <v>0.99999999999999978</v>
      </c>
      <c r="C192" s="363">
        <f t="shared" si="25"/>
        <v>1</v>
      </c>
      <c r="D192" s="352">
        <f t="shared" si="26"/>
        <v>1</v>
      </c>
      <c r="E192" s="364">
        <f t="shared" si="27"/>
        <v>1</v>
      </c>
      <c r="F192" s="364">
        <f t="shared" si="28"/>
        <v>1</v>
      </c>
      <c r="G192" s="365">
        <f t="shared" si="29"/>
        <v>1</v>
      </c>
      <c r="P192" s="358">
        <f t="shared" si="31"/>
        <v>180</v>
      </c>
      <c r="Q192" s="359">
        <f>(('Methane Leakage'!$C$6/'Methane Leakage'!$C$5)*102*'Emissions Factors'!$C$38*'Calcs - Power'!$G191+'Emissions Factors'!$C$37*('Calcs - Power'!$H191+'Calcs - Power'!$I191+'Calcs - Power'!$J191+'Calcs - Power'!$K191))</f>
        <v>39484.875091585302</v>
      </c>
      <c r="R192" s="366">
        <f>(('Methane Leakage'!$C$6/'Methane Leakage'!$C$5)*102*'Emissions Factors'!$C$38*'Calcs - Power'!$B191+'Emissions Factors'!$C$37*('Calcs - Power'!$C191+'Calcs - Power'!$D191+'Calcs - Power'!$E191+'Calcs - Power'!$F191))</f>
        <v>4300315.1358158914</v>
      </c>
      <c r="S192" s="359">
        <f>(('Methane Leakage'!$C$6/'Methane Leakage'!$C$5)*102*'Emissions Factors'!$D$38*'Calcs - Power'!$G191+'Emissions Factors'!$D$37*('Calcs - Power'!$H191+'Calcs - Power'!$I191+'Calcs - Power'!$J191+'Calcs - Power'!$K191))</f>
        <v>39484.875091585302</v>
      </c>
      <c r="T192" s="366">
        <f>(('Methane Leakage'!$C$6/'Methane Leakage'!$C$5)*102*'Emissions Factors'!$D$38*'Calcs - Power'!$B191+'Emissions Factors'!$D$37*('Calcs - Power'!$C191+'Calcs - Power'!$D191+'Calcs - Power'!$E191+'Calcs - Power'!$F191))</f>
        <v>4300315.1358158914</v>
      </c>
      <c r="U192" s="361">
        <f>(102*'Emissions Factors'!$C$36*'Calcs - Power'!$G191+'Emissions Factors'!$C$35*('Calcs - Power'!$H191+'Calcs - Power'!$I191+'Calcs - Power'!$J191+'Calcs - Power'!$K191))</f>
        <v>73692.928977225631</v>
      </c>
      <c r="V192" s="366">
        <f>(102*'Emissions Factors'!$C$36*'Calcs - Power'!$B191+'Emissions Factors'!$C$35*('Calcs - Power'!$C191+'Calcs - Power'!$D191+'Calcs - Power'!$E191+'Calcs - Power'!$F191))</f>
        <v>7596473.6945332754</v>
      </c>
      <c r="W192" s="359">
        <f>(102*'Emissions Factors'!$D$36*'Calcs - Power'!$G191+'Emissions Factors'!$D$35*('Calcs - Power'!$H191+'Calcs - Power'!$I191+'Calcs - Power'!$J191+'Calcs - Power'!$K191))</f>
        <v>73692.928977225631</v>
      </c>
      <c r="X192" s="366">
        <f>(102*'Emissions Factors'!$D$36*'Calcs - Power'!$B191+'Emissions Factors'!$D$35*('Calcs - Power'!$C191+'Calcs - Power'!$D191+'Calcs - Power'!$E191+'Calcs - Power'!$F191))</f>
        <v>7596473.6945332754</v>
      </c>
      <c r="Y192" s="359">
        <f>(102*'Emissions Factors'!$C$38*'Calcs - Power'!$G191+'Emissions Factors'!$C$37*('Calcs - Power'!$H191+'Calcs - Power'!$I191+'Calcs - Power'!$J191+'Calcs - Power'!$K191))</f>
        <v>39484.875091585302</v>
      </c>
      <c r="Z192" s="366">
        <f>(102*'Emissions Factors'!$C$38*'Calcs - Power'!$B191+'Emissions Factors'!$C$37*('Calcs - Power'!$C191+'Calcs - Power'!$D191+'Calcs - Power'!$E191+'Calcs - Power'!$F191))</f>
        <v>4300315.1358158914</v>
      </c>
      <c r="AA192" s="359">
        <f>(102*'Emissions Factors'!$C$36*'Calcs - Power'!$G191+'Emissions Factors'!$C$35*('Calcs - Power'!$H191+'Calcs - Power'!$I191+'Calcs - Power'!$J191+'Calcs - Power'!$K191))</f>
        <v>73692.928977225631</v>
      </c>
      <c r="AB192" s="366">
        <f>(102*'Emissions Factors'!$C$36*'Calcs - Power'!$B191+'Emissions Factors'!$C$35*('Calcs - Power'!$C191+'Calcs - Power'!$D191+'Calcs - Power'!$E191+'Calcs - Power'!$F191))</f>
        <v>7596473.6945332754</v>
      </c>
      <c r="AI192" s="358">
        <f t="shared" si="32"/>
        <v>180</v>
      </c>
      <c r="AJ192" s="359">
        <f>(('Methane Leakage'!$G$6/'Methane Leakage'!$G$5)*102*'Emissions Factors'!$D$10*'Calcs - Power'!$G191+'Emissions Factors'!$D$11*('Calcs - Power'!$H191+'Calcs - Power'!$I191+'Calcs - Power'!$J191+'Calcs - Power'!$K191))</f>
        <v>5378.3737013854225</v>
      </c>
      <c r="AK192" s="366">
        <f>(('Methane Leakage'!$G$6/'Methane Leakage'!$G$5)*102*'Emissions Factors'!$D$10*'Calcs - Power'!$B191+'Emissions Factors'!$D$11*('Calcs - Power'!$C191+'Calcs - Power'!$D191+'Calcs - Power'!$E191+'Calcs - Power'!$F191))</f>
        <v>597574.429821108</v>
      </c>
      <c r="AL192" s="359">
        <f>(102*'Emissions Factors'!$E$10*'Calcs - Power'!$G191+'Emissions Factors'!$E$11*('Calcs - Power'!H191+'Calcs - Power'!I191+'Calcs - Power'!J191+'Calcs - Power'!K191))</f>
        <v>6551.7101500515391</v>
      </c>
      <c r="AM192" s="366">
        <f>(102*'Emissions Factors'!$E$10*'Calcs - Power'!$B191+'Emissions Factors'!$E$11*('Calcs - Power'!C191+'Calcs - Power'!D191+'Calcs - Power'!E191+'Calcs - Power'!F191))</f>
        <v>678292.12675791478</v>
      </c>
      <c r="AN192" s="359">
        <f>(102*'Emissions Factors'!$D$10*'Calcs - Power'!$G191+'Emissions Factors'!$D$11*('Calcs - Power'!$H191+'Calcs - Power'!$I191+'Calcs - Power'!$J191+'Calcs - Power'!$K191))</f>
        <v>5378.3737013854225</v>
      </c>
      <c r="AO192" s="366">
        <f>(102*'Emissions Factors'!$D$10*'Calcs - Power'!$B191+'Emissions Factors'!$D$11*('Calcs - Power'!$C191+'Calcs - Power'!$D191+'Calcs - Power'!$E191+'Calcs - Power'!$F191))</f>
        <v>597574.429821108</v>
      </c>
      <c r="AP192" s="367">
        <f>(102*'Emissions Factors'!$E$10*'Calcs - Power'!$G191+'Emissions Factors'!$E$11*('Calcs - Power'!H191+'Calcs - Power'!I191+'Calcs - Power'!J191+'Calcs - Power'!K191))</f>
        <v>6551.7101500515391</v>
      </c>
      <c r="AQ192" s="366">
        <f>(102*'Emissions Factors'!$E$10*'Calcs - Power'!$B191+'Emissions Factors'!$E$11*('Calcs - Power'!C191+'Calcs - Power'!D191+'Calcs - Power'!E191+'Calcs - Power'!F191))</f>
        <v>678292.12675791478</v>
      </c>
      <c r="AS192" s="357"/>
      <c r="AT192" s="357"/>
      <c r="AU192" s="357"/>
      <c r="AV192" s="357"/>
      <c r="AX192" s="358">
        <f t="shared" si="33"/>
        <v>180</v>
      </c>
      <c r="AY192" s="359">
        <f>(('Methane Leakage'!$G$6/'Methane Leakage'!$G$5)*102*'Emissions Factors'!$F$10*'Calcs - Power'!$G191+'Emissions Factors'!$F$11*('Calcs - Power'!$H191+'Calcs - Power'!$I191+'Calcs - Power'!$J191+'Calcs - Power'!$K191))</f>
        <v>7446100.0642292276</v>
      </c>
      <c r="AZ192" s="366">
        <f>(('Methane Leakage'!$G$6/'Methane Leakage'!$G$5)*102*'Emissions Factors'!$F$10*'Calcs - Power'!$B191+'Emissions Factors'!$F$11*('Calcs - Power'!$C191+'Calcs - Power'!$D191+'Calcs - Power'!$E191+'Calcs - Power'!$F191))</f>
        <v>809928996.56414473</v>
      </c>
      <c r="BA192" s="359">
        <f>(102*'Emissions Factors'!$G$10*'Calcs - Power'!$G191+'Emissions Factors'!$G$11*('Calcs - Power'!H191+'Calcs - Power'!I191+'Calcs - Power'!J191+'Calcs - Power'!K191))</f>
        <v>7573044.7300642384</v>
      </c>
      <c r="BB192" s="366">
        <f>(102*'Emissions Factors'!$G$10*'Calcs - Power'!$B191+'Emissions Factors'!$G$11*('Calcs - Power'!C191+'Calcs - Power'!D191+'Calcs - Power'!E191+'Calcs - Power'!F191))</f>
        <v>782253904.72244632</v>
      </c>
      <c r="BC192" s="359">
        <f>(102*'Emissions Factors'!$F$10*'Calcs - Power'!$G191+'Emissions Factors'!$F$11*('Calcs - Power'!$H191+'Calcs - Power'!$I191+'Calcs - Power'!$J191+'Calcs - Power'!$K191))</f>
        <v>7446100.0642292276</v>
      </c>
      <c r="BD192" s="366">
        <f>(102*'Emissions Factors'!$F$10*'Calcs - Power'!$B191+'Emissions Factors'!$F$11*('Calcs - Power'!$C191+'Calcs - Power'!$D191+'Calcs - Power'!$E191+'Calcs - Power'!$F191))</f>
        <v>809928996.56414473</v>
      </c>
      <c r="BE192" s="359">
        <f>(102*'Emissions Factors'!$G$10*'Calcs - Power'!$G191+'Emissions Factors'!$G$11*('Calcs - Power'!H191+'Calcs - Power'!I191+'Calcs - Power'!J191+'Calcs - Power'!K191))</f>
        <v>7573044.7300642384</v>
      </c>
      <c r="BF192" s="366">
        <f>(102*'Emissions Factors'!$G$10*'Calcs - Power'!$B191+'Emissions Factors'!$G$11*('Calcs - Power'!C191+'Calcs - Power'!D191+'Calcs - Power'!E191+'Calcs - Power'!F191))</f>
        <v>782253904.72244632</v>
      </c>
    </row>
    <row r="193" spans="1:58" x14ac:dyDescent="0.3">
      <c r="A193" s="351">
        <f t="shared" si="30"/>
        <v>181</v>
      </c>
      <c r="B193" s="352">
        <f t="shared" si="24"/>
        <v>1</v>
      </c>
      <c r="C193" s="363">
        <f t="shared" si="25"/>
        <v>0.99999999999999978</v>
      </c>
      <c r="D193" s="352">
        <f t="shared" si="26"/>
        <v>1</v>
      </c>
      <c r="E193" s="364">
        <f t="shared" si="27"/>
        <v>1</v>
      </c>
      <c r="F193" s="364">
        <f t="shared" si="28"/>
        <v>1</v>
      </c>
      <c r="G193" s="365">
        <f t="shared" si="29"/>
        <v>1</v>
      </c>
      <c r="P193" s="358">
        <f t="shared" si="31"/>
        <v>181</v>
      </c>
      <c r="Q193" s="359">
        <f>(('Methane Leakage'!$C$6/'Methane Leakage'!$C$5)*102*'Emissions Factors'!$C$38*'Calcs - Power'!$G192+'Emissions Factors'!$C$37*('Calcs - Power'!$H192+'Calcs - Power'!$I192+'Calcs - Power'!$J192+'Calcs - Power'!$K192))</f>
        <v>39631.621404987891</v>
      </c>
      <c r="R193" s="366">
        <f>(('Methane Leakage'!$C$6/'Methane Leakage'!$C$5)*102*'Emissions Factors'!$C$38*'Calcs - Power'!$B192+'Emissions Factors'!$C$37*('Calcs - Power'!$C192+'Calcs - Power'!$D192+'Calcs - Power'!$E192+'Calcs - Power'!$F192))</f>
        <v>4339873.4050322268</v>
      </c>
      <c r="S193" s="359">
        <f>(('Methane Leakage'!$C$6/'Methane Leakage'!$C$5)*102*'Emissions Factors'!$D$38*'Calcs - Power'!$G192+'Emissions Factors'!$D$37*('Calcs - Power'!$H192+'Calcs - Power'!$I192+'Calcs - Power'!$J192+'Calcs - Power'!$K192))</f>
        <v>39631.621404987891</v>
      </c>
      <c r="T193" s="366">
        <f>(('Methane Leakage'!$C$6/'Methane Leakage'!$C$5)*102*'Emissions Factors'!$D$38*'Calcs - Power'!$B192+'Emissions Factors'!$D$37*('Calcs - Power'!$C192+'Calcs - Power'!$D192+'Calcs - Power'!$E192+'Calcs - Power'!$F192))</f>
        <v>4339873.4050322268</v>
      </c>
      <c r="U193" s="361">
        <f>(102*'Emissions Factors'!$C$36*'Calcs - Power'!$G192+'Emissions Factors'!$C$35*('Calcs - Power'!$H192+'Calcs - Power'!$I192+'Calcs - Power'!$J192+'Calcs - Power'!$K192))</f>
        <v>73993.821199327242</v>
      </c>
      <c r="V193" s="366">
        <f>(102*'Emissions Factors'!$C$36*'Calcs - Power'!$B192+'Emissions Factors'!$C$35*('Calcs - Power'!$C192+'Calcs - Power'!$D192+'Calcs - Power'!$E192+'Calcs - Power'!$F192))</f>
        <v>7670317.1126137422</v>
      </c>
      <c r="W193" s="359">
        <f>(102*'Emissions Factors'!$D$36*'Calcs - Power'!$G192+'Emissions Factors'!$D$35*('Calcs - Power'!$H192+'Calcs - Power'!$I192+'Calcs - Power'!$J192+'Calcs - Power'!$K192))</f>
        <v>73993.821199327242</v>
      </c>
      <c r="X193" s="366">
        <f>(102*'Emissions Factors'!$D$36*'Calcs - Power'!$B192+'Emissions Factors'!$D$35*('Calcs - Power'!$C192+'Calcs - Power'!$D192+'Calcs - Power'!$E192+'Calcs - Power'!$F192))</f>
        <v>7670317.1126137422</v>
      </c>
      <c r="Y193" s="359">
        <f>(102*'Emissions Factors'!$C$38*'Calcs - Power'!$G192+'Emissions Factors'!$C$37*('Calcs - Power'!$H192+'Calcs - Power'!$I192+'Calcs - Power'!$J192+'Calcs - Power'!$K192))</f>
        <v>39631.621404987891</v>
      </c>
      <c r="Z193" s="366">
        <f>(102*'Emissions Factors'!$C$38*'Calcs - Power'!$B192+'Emissions Factors'!$C$37*('Calcs - Power'!$C192+'Calcs - Power'!$D192+'Calcs - Power'!$E192+'Calcs - Power'!$F192))</f>
        <v>4339873.4050322268</v>
      </c>
      <c r="AA193" s="359">
        <f>(102*'Emissions Factors'!$C$36*'Calcs - Power'!$G192+'Emissions Factors'!$C$35*('Calcs - Power'!$H192+'Calcs - Power'!$I192+'Calcs - Power'!$J192+'Calcs - Power'!$K192))</f>
        <v>73993.821199327242</v>
      </c>
      <c r="AB193" s="366">
        <f>(102*'Emissions Factors'!$C$36*'Calcs - Power'!$B192+'Emissions Factors'!$C$35*('Calcs - Power'!$C192+'Calcs - Power'!$D192+'Calcs - Power'!$E192+'Calcs - Power'!$F192))</f>
        <v>7670317.1126137422</v>
      </c>
      <c r="AI193" s="358">
        <f t="shared" si="32"/>
        <v>181</v>
      </c>
      <c r="AJ193" s="359">
        <f>(('Methane Leakage'!$G$6/'Methane Leakage'!$G$5)*102*'Emissions Factors'!$D$10*'Calcs - Power'!$G192+'Emissions Factors'!$D$11*('Calcs - Power'!$H192+'Calcs - Power'!$I192+'Calcs - Power'!$J192+'Calcs - Power'!$K192))</f>
        <v>5397.6195194442244</v>
      </c>
      <c r="AK193" s="366">
        <f>(('Methane Leakage'!$G$6/'Methane Leakage'!$G$5)*102*'Emissions Factors'!$D$10*'Calcs - Power'!$B192+'Emissions Factors'!$D$11*('Calcs - Power'!$C192+'Calcs - Power'!$D192+'Calcs - Power'!$E192+'Calcs - Power'!$F192))</f>
        <v>602962.42918152118</v>
      </c>
      <c r="AL193" s="359">
        <f>(102*'Emissions Factors'!$E$10*'Calcs - Power'!$G192+'Emissions Factors'!$E$11*('Calcs - Power'!H192+'Calcs - Power'!I192+'Calcs - Power'!J192+'Calcs - Power'!K192))</f>
        <v>6578.2772627394479</v>
      </c>
      <c r="AM193" s="366">
        <f>(102*'Emissions Factors'!$E$10*'Calcs - Power'!$B192+'Emissions Factors'!$E$11*('Calcs - Power'!C192+'Calcs - Power'!D192+'Calcs - Power'!E192+'Calcs - Power'!F192))</f>
        <v>684857.12426028948</v>
      </c>
      <c r="AN193" s="359">
        <f>(102*'Emissions Factors'!$D$10*'Calcs - Power'!$G192+'Emissions Factors'!$D$11*('Calcs - Power'!$H192+'Calcs - Power'!$I192+'Calcs - Power'!$J192+'Calcs - Power'!$K192))</f>
        <v>5397.6195194442244</v>
      </c>
      <c r="AO193" s="366">
        <f>(102*'Emissions Factors'!$D$10*'Calcs - Power'!$B192+'Emissions Factors'!$D$11*('Calcs - Power'!$C192+'Calcs - Power'!$D192+'Calcs - Power'!$E192+'Calcs - Power'!$F192))</f>
        <v>602962.42918152118</v>
      </c>
      <c r="AP193" s="367">
        <f>(102*'Emissions Factors'!$E$10*'Calcs - Power'!$G192+'Emissions Factors'!$E$11*('Calcs - Power'!H192+'Calcs - Power'!I192+'Calcs - Power'!J192+'Calcs - Power'!K192))</f>
        <v>6578.2772627394479</v>
      </c>
      <c r="AQ193" s="366">
        <f>(102*'Emissions Factors'!$E$10*'Calcs - Power'!$B192+'Emissions Factors'!$E$11*('Calcs - Power'!C192+'Calcs - Power'!D192+'Calcs - Power'!E192+'Calcs - Power'!F192))</f>
        <v>684857.12426028948</v>
      </c>
      <c r="AS193" s="357"/>
      <c r="AT193" s="357"/>
      <c r="AU193" s="357"/>
      <c r="AV193" s="357"/>
      <c r="AX193" s="358">
        <f t="shared" si="33"/>
        <v>181</v>
      </c>
      <c r="AY193" s="359">
        <f>(('Methane Leakage'!$G$6/'Methane Leakage'!$G$5)*102*'Emissions Factors'!$F$10*'Calcs - Power'!$G192+'Emissions Factors'!$F$11*('Calcs - Power'!$H192+'Calcs - Power'!$I192+'Calcs - Power'!$J192+'Calcs - Power'!$K192))</f>
        <v>7473838.3637495153</v>
      </c>
      <c r="AZ193" s="366">
        <f>(('Methane Leakage'!$G$6/'Methane Leakage'!$G$5)*102*'Emissions Factors'!$F$10*'Calcs - Power'!$B192+'Emissions Factors'!$F$11*('Calcs - Power'!$C192+'Calcs - Power'!$D192+'Calcs - Power'!$E192+'Calcs - Power'!$F192))</f>
        <v>817388969.74155629</v>
      </c>
      <c r="BA193" s="359">
        <f>(102*'Emissions Factors'!$G$10*'Calcs - Power'!$G192+'Emissions Factors'!$G$11*('Calcs - Power'!H192+'Calcs - Power'!I192+'Calcs - Power'!J192+'Calcs - Power'!K192))</f>
        <v>7603865.0457337555</v>
      </c>
      <c r="BB193" s="366">
        <f>(102*'Emissions Factors'!$G$10*'Calcs - Power'!$B192+'Emissions Factors'!$G$11*('Calcs - Power'!C192+'Calcs - Power'!D192+'Calcs - Power'!E192+'Calcs - Power'!F192))</f>
        <v>789842364.01402879</v>
      </c>
      <c r="BC193" s="359">
        <f>(102*'Emissions Factors'!$F$10*'Calcs - Power'!$G192+'Emissions Factors'!$F$11*('Calcs - Power'!$H192+'Calcs - Power'!$I192+'Calcs - Power'!$J192+'Calcs - Power'!$K192))</f>
        <v>7473838.3637495153</v>
      </c>
      <c r="BD193" s="366">
        <f>(102*'Emissions Factors'!$F$10*'Calcs - Power'!$B192+'Emissions Factors'!$F$11*('Calcs - Power'!$C192+'Calcs - Power'!$D192+'Calcs - Power'!$E192+'Calcs - Power'!$F192))</f>
        <v>817388969.74155629</v>
      </c>
      <c r="BE193" s="359">
        <f>(102*'Emissions Factors'!$G$10*'Calcs - Power'!$G192+'Emissions Factors'!$G$11*('Calcs - Power'!H192+'Calcs - Power'!I192+'Calcs - Power'!J192+'Calcs - Power'!K192))</f>
        <v>7603865.0457337555</v>
      </c>
      <c r="BF193" s="366">
        <f>(102*'Emissions Factors'!$G$10*'Calcs - Power'!$B192+'Emissions Factors'!$G$11*('Calcs - Power'!C192+'Calcs - Power'!D192+'Calcs - Power'!E192+'Calcs - Power'!F192))</f>
        <v>789842364.01402879</v>
      </c>
    </row>
    <row r="194" spans="1:58" x14ac:dyDescent="0.3">
      <c r="A194" s="351">
        <f t="shared" si="30"/>
        <v>182</v>
      </c>
      <c r="B194" s="352">
        <f t="shared" si="24"/>
        <v>1</v>
      </c>
      <c r="C194" s="363">
        <f t="shared" si="25"/>
        <v>1</v>
      </c>
      <c r="D194" s="352">
        <f t="shared" si="26"/>
        <v>1</v>
      </c>
      <c r="E194" s="364">
        <f t="shared" si="27"/>
        <v>1</v>
      </c>
      <c r="F194" s="364">
        <f t="shared" si="28"/>
        <v>1</v>
      </c>
      <c r="G194" s="365">
        <f t="shared" si="29"/>
        <v>1</v>
      </c>
      <c r="P194" s="358">
        <f t="shared" si="31"/>
        <v>182</v>
      </c>
      <c r="Q194" s="359">
        <f>(('Methane Leakage'!$C$6/'Methane Leakage'!$C$5)*102*'Emissions Factors'!$C$38*'Calcs - Power'!$G193+'Emissions Factors'!$C$37*('Calcs - Power'!$H193+'Calcs - Power'!$I193+'Calcs - Power'!$J193+'Calcs - Power'!$K193))</f>
        <v>39778.11684016417</v>
      </c>
      <c r="R194" s="366">
        <f>(('Methane Leakage'!$C$6/'Methane Leakage'!$C$5)*102*'Emissions Factors'!$C$38*'Calcs - Power'!$B193+'Emissions Factors'!$C$37*('Calcs - Power'!$C193+'Calcs - Power'!$D193+'Calcs - Power'!$E193+'Calcs - Power'!$F193))</f>
        <v>4379578.2949999021</v>
      </c>
      <c r="S194" s="359">
        <f>(('Methane Leakage'!$C$6/'Methane Leakage'!$C$5)*102*'Emissions Factors'!$D$38*'Calcs - Power'!$G193+'Emissions Factors'!$D$37*('Calcs - Power'!$H193+'Calcs - Power'!$I193+'Calcs - Power'!$J193+'Calcs - Power'!$K193))</f>
        <v>39778.11684016417</v>
      </c>
      <c r="T194" s="366">
        <f>(('Methane Leakage'!$C$6/'Methane Leakage'!$C$5)*102*'Emissions Factors'!$D$38*'Calcs - Power'!$B193+'Emissions Factors'!$D$37*('Calcs - Power'!$C193+'Calcs - Power'!$D193+'Calcs - Power'!$E193+'Calcs - Power'!$F193))</f>
        <v>4379578.2949999021</v>
      </c>
      <c r="U194" s="361">
        <f>(102*'Emissions Factors'!$C$36*'Calcs - Power'!$G193+'Emissions Factors'!$C$35*('Calcs - Power'!$H193+'Calcs - Power'!$I193+'Calcs - Power'!$J193+'Calcs - Power'!$K193))</f>
        <v>74294.19902850056</v>
      </c>
      <c r="V194" s="366">
        <f>(102*'Emissions Factors'!$C$36*'Calcs - Power'!$B193+'Emissions Factors'!$C$35*('Calcs - Power'!$C193+'Calcs - Power'!$D193+'Calcs - Power'!$E193+'Calcs - Power'!$F193))</f>
        <v>7744461.1654678453</v>
      </c>
      <c r="W194" s="359">
        <f>(102*'Emissions Factors'!$D$36*'Calcs - Power'!$G193+'Emissions Factors'!$D$35*('Calcs - Power'!$H193+'Calcs - Power'!$I193+'Calcs - Power'!$J193+'Calcs - Power'!$K193))</f>
        <v>74294.19902850056</v>
      </c>
      <c r="X194" s="366">
        <f>(102*'Emissions Factors'!$D$36*'Calcs - Power'!$B193+'Emissions Factors'!$D$35*('Calcs - Power'!$C193+'Calcs - Power'!$D193+'Calcs - Power'!$E193+'Calcs - Power'!$F193))</f>
        <v>7744461.1654678453</v>
      </c>
      <c r="Y194" s="359">
        <f>(102*'Emissions Factors'!$C$38*'Calcs - Power'!$G193+'Emissions Factors'!$C$37*('Calcs - Power'!$H193+'Calcs - Power'!$I193+'Calcs - Power'!$J193+'Calcs - Power'!$K193))</f>
        <v>39778.11684016417</v>
      </c>
      <c r="Z194" s="366">
        <f>(102*'Emissions Factors'!$C$38*'Calcs - Power'!$B193+'Emissions Factors'!$C$37*('Calcs - Power'!$C193+'Calcs - Power'!$D193+'Calcs - Power'!$E193+'Calcs - Power'!$F193))</f>
        <v>4379578.2949999021</v>
      </c>
      <c r="AA194" s="359">
        <f>(102*'Emissions Factors'!$C$36*'Calcs - Power'!$G193+'Emissions Factors'!$C$35*('Calcs - Power'!$H193+'Calcs - Power'!$I193+'Calcs - Power'!$J193+'Calcs - Power'!$K193))</f>
        <v>74294.19902850056</v>
      </c>
      <c r="AB194" s="366">
        <f>(102*'Emissions Factors'!$C$36*'Calcs - Power'!$B193+'Emissions Factors'!$C$35*('Calcs - Power'!$C193+'Calcs - Power'!$D193+'Calcs - Power'!$E193+'Calcs - Power'!$F193))</f>
        <v>7744461.1654678453</v>
      </c>
      <c r="AI194" s="358">
        <f t="shared" si="32"/>
        <v>182</v>
      </c>
      <c r="AJ194" s="359">
        <f>(('Methane Leakage'!$G$6/'Methane Leakage'!$G$5)*102*'Emissions Factors'!$D$10*'Calcs - Power'!$G193+'Emissions Factors'!$D$11*('Calcs - Power'!$H193+'Calcs - Power'!$I193+'Calcs - Power'!$J193+'Calcs - Power'!$K193))</f>
        <v>5416.8324343742661</v>
      </c>
      <c r="AK194" s="366">
        <f>(('Methane Leakage'!$G$6/'Methane Leakage'!$G$5)*102*'Emissions Factors'!$D$10*'Calcs - Power'!$B193+'Emissions Factors'!$D$11*('Calcs - Power'!$C193+'Calcs - Power'!$D193+'Calcs - Power'!$E193+'Calcs - Power'!$F193))</f>
        <v>608369.65789230133</v>
      </c>
      <c r="AL194" s="359">
        <f>(102*'Emissions Factors'!$E$10*'Calcs - Power'!$G193+'Emissions Factors'!$E$11*('Calcs - Power'!H193+'Calcs - Power'!I193+'Calcs - Power'!J193+'Calcs - Power'!K193))</f>
        <v>6604.7989573014584</v>
      </c>
      <c r="AM194" s="366">
        <f>(102*'Emissions Factors'!$E$10*'Calcs - Power'!$B193+'Emissions Factors'!$E$11*('Calcs - Power'!C193+'Calcs - Power'!D193+'Calcs - Power'!E193+'Calcs - Power'!F193))</f>
        <v>691448.66614403832</v>
      </c>
      <c r="AN194" s="359">
        <f>(102*'Emissions Factors'!$D$10*'Calcs - Power'!$G193+'Emissions Factors'!$D$11*('Calcs - Power'!$H193+'Calcs - Power'!$I193+'Calcs - Power'!$J193+'Calcs - Power'!$K193))</f>
        <v>5416.8324343742661</v>
      </c>
      <c r="AO194" s="366">
        <f>(102*'Emissions Factors'!$D$10*'Calcs - Power'!$B193+'Emissions Factors'!$D$11*('Calcs - Power'!$C193+'Calcs - Power'!$D193+'Calcs - Power'!$E193+'Calcs - Power'!$F193))</f>
        <v>608369.65789230133</v>
      </c>
      <c r="AP194" s="367">
        <f>(102*'Emissions Factors'!$E$10*'Calcs - Power'!$G193+'Emissions Factors'!$E$11*('Calcs - Power'!H193+'Calcs - Power'!I193+'Calcs - Power'!J193+'Calcs - Power'!K193))</f>
        <v>6604.7989573014584</v>
      </c>
      <c r="AQ194" s="366">
        <f>(102*'Emissions Factors'!$E$10*'Calcs - Power'!$B193+'Emissions Factors'!$E$11*('Calcs - Power'!C193+'Calcs - Power'!D193+'Calcs - Power'!E193+'Calcs - Power'!F193))</f>
        <v>691448.66614403832</v>
      </c>
      <c r="AS194" s="357"/>
      <c r="AT194" s="357"/>
      <c r="AU194" s="357"/>
      <c r="AV194" s="357"/>
      <c r="AX194" s="358">
        <f t="shared" si="33"/>
        <v>182</v>
      </c>
      <c r="AY194" s="359">
        <f>(('Methane Leakage'!$G$6/'Methane Leakage'!$G$5)*102*'Emissions Factors'!$F$10*'Calcs - Power'!$G193+'Emissions Factors'!$F$11*('Calcs - Power'!$H193+'Calcs - Power'!$I193+'Calcs - Power'!$J193+'Calcs - Power'!$K193))</f>
        <v>7501529.2417684933</v>
      </c>
      <c r="AZ194" s="366">
        <f>(('Methane Leakage'!$G$6/'Methane Leakage'!$G$5)*102*'Emissions Factors'!$F$10*'Calcs - Power'!$B193+'Emissions Factors'!$F$11*('Calcs - Power'!$C193+'Calcs - Power'!$D193+'Calcs - Power'!$E193+'Calcs - Power'!$F193))</f>
        <v>824876657.48449755</v>
      </c>
      <c r="BA194" s="359">
        <f>(102*'Emissions Factors'!$G$10*'Calcs - Power'!$G193+'Emissions Factors'!$G$11*('Calcs - Power'!H193+'Calcs - Power'!I193+'Calcs - Power'!J193+'Calcs - Power'!K193))</f>
        <v>7634632.6722159637</v>
      </c>
      <c r="BB194" s="366">
        <f>(102*'Emissions Factors'!$G$10*'Calcs - Power'!$B193+'Emissions Factors'!$G$11*('Calcs - Power'!C193+'Calcs - Power'!D193+'Calcs - Power'!E193+'Calcs - Power'!F193))</f>
        <v>797461617.25087452</v>
      </c>
      <c r="BC194" s="359">
        <f>(102*'Emissions Factors'!$F$10*'Calcs - Power'!$G193+'Emissions Factors'!$F$11*('Calcs - Power'!$H193+'Calcs - Power'!$I193+'Calcs - Power'!$J193+'Calcs - Power'!$K193))</f>
        <v>7501529.2417684933</v>
      </c>
      <c r="BD194" s="366">
        <f>(102*'Emissions Factors'!$F$10*'Calcs - Power'!$B193+'Emissions Factors'!$F$11*('Calcs - Power'!$C193+'Calcs - Power'!$D193+'Calcs - Power'!$E193+'Calcs - Power'!$F193))</f>
        <v>824876657.48449755</v>
      </c>
      <c r="BE194" s="359">
        <f>(102*'Emissions Factors'!$G$10*'Calcs - Power'!$G193+'Emissions Factors'!$G$11*('Calcs - Power'!H193+'Calcs - Power'!I193+'Calcs - Power'!J193+'Calcs - Power'!K193))</f>
        <v>7634632.6722159637</v>
      </c>
      <c r="BF194" s="366">
        <f>(102*'Emissions Factors'!$G$10*'Calcs - Power'!$B193+'Emissions Factors'!$G$11*('Calcs - Power'!C193+'Calcs - Power'!D193+'Calcs - Power'!E193+'Calcs - Power'!F193))</f>
        <v>797461617.25087452</v>
      </c>
    </row>
    <row r="195" spans="1:58" x14ac:dyDescent="0.3">
      <c r="A195" s="351">
        <f t="shared" si="30"/>
        <v>183</v>
      </c>
      <c r="B195" s="352">
        <f t="shared" si="24"/>
        <v>1</v>
      </c>
      <c r="C195" s="363">
        <f t="shared" si="25"/>
        <v>1</v>
      </c>
      <c r="D195" s="352">
        <f t="shared" si="26"/>
        <v>1</v>
      </c>
      <c r="E195" s="364">
        <f t="shared" si="27"/>
        <v>1</v>
      </c>
      <c r="F195" s="364">
        <f t="shared" si="28"/>
        <v>1</v>
      </c>
      <c r="G195" s="365">
        <f t="shared" si="29"/>
        <v>1</v>
      </c>
      <c r="P195" s="358">
        <f t="shared" si="31"/>
        <v>183</v>
      </c>
      <c r="Q195" s="359">
        <f>(('Methane Leakage'!$C$6/'Methane Leakage'!$C$5)*102*'Emissions Factors'!$C$38*'Calcs - Power'!$G194+'Emissions Factors'!$C$37*('Calcs - Power'!$H194+'Calcs - Power'!$I194+'Calcs - Power'!$J194+'Calcs - Power'!$K194))</f>
        <v>39924.362867581011</v>
      </c>
      <c r="R195" s="366">
        <f>(('Methane Leakage'!$C$6/'Methane Leakage'!$C$5)*102*'Emissions Factors'!$C$38*'Calcs - Power'!$B194+'Emissions Factors'!$C$37*('Calcs - Power'!$C194+'Calcs - Power'!$D194+'Calcs - Power'!$E194+'Calcs - Power'!$F194))</f>
        <v>4419429.5555767436</v>
      </c>
      <c r="S195" s="359">
        <f>(('Methane Leakage'!$C$6/'Methane Leakage'!$C$5)*102*'Emissions Factors'!$D$38*'Calcs - Power'!$G194+'Emissions Factors'!$D$37*('Calcs - Power'!$H194+'Calcs - Power'!$I194+'Calcs - Power'!$J194+'Calcs - Power'!$K194))</f>
        <v>39924.362867581011</v>
      </c>
      <c r="T195" s="366">
        <f>(('Methane Leakage'!$C$6/'Methane Leakage'!$C$5)*102*'Emissions Factors'!$D$38*'Calcs - Power'!$B194+'Emissions Factors'!$D$37*('Calcs - Power'!$C194+'Calcs - Power'!$D194+'Calcs - Power'!$E194+'Calcs - Power'!$F194))</f>
        <v>4419429.5555767436</v>
      </c>
      <c r="U195" s="361">
        <f>(102*'Emissions Factors'!$C$36*'Calcs - Power'!$G194+'Emissions Factors'!$C$35*('Calcs - Power'!$H194+'Calcs - Power'!$I194+'Calcs - Power'!$J194+'Calcs - Power'!$K194))</f>
        <v>74594.06547869202</v>
      </c>
      <c r="V195" s="366">
        <f>(102*'Emissions Factors'!$C$36*'Calcs - Power'!$B194+'Emissions Factors'!$C$35*('Calcs - Power'!$C194+'Calcs - Power'!$D194+'Calcs - Power'!$E194+'Calcs - Power'!$F194))</f>
        <v>7818905.340211303</v>
      </c>
      <c r="W195" s="359">
        <f>(102*'Emissions Factors'!$D$36*'Calcs - Power'!$G194+'Emissions Factors'!$D$35*('Calcs - Power'!$H194+'Calcs - Power'!$I194+'Calcs - Power'!$J194+'Calcs - Power'!$K194))</f>
        <v>74594.06547869202</v>
      </c>
      <c r="X195" s="366">
        <f>(102*'Emissions Factors'!$D$36*'Calcs - Power'!$B194+'Emissions Factors'!$D$35*('Calcs - Power'!$C194+'Calcs - Power'!$D194+'Calcs - Power'!$E194+'Calcs - Power'!$F194))</f>
        <v>7818905.340211303</v>
      </c>
      <c r="Y195" s="359">
        <f>(102*'Emissions Factors'!$C$38*'Calcs - Power'!$G194+'Emissions Factors'!$C$37*('Calcs - Power'!$H194+'Calcs - Power'!$I194+'Calcs - Power'!$J194+'Calcs - Power'!$K194))</f>
        <v>39924.362867581011</v>
      </c>
      <c r="Z195" s="366">
        <f>(102*'Emissions Factors'!$C$38*'Calcs - Power'!$B194+'Emissions Factors'!$C$37*('Calcs - Power'!$C194+'Calcs - Power'!$D194+'Calcs - Power'!$E194+'Calcs - Power'!$F194))</f>
        <v>4419429.5555767436</v>
      </c>
      <c r="AA195" s="359">
        <f>(102*'Emissions Factors'!$C$36*'Calcs - Power'!$G194+'Emissions Factors'!$C$35*('Calcs - Power'!$H194+'Calcs - Power'!$I194+'Calcs - Power'!$J194+'Calcs - Power'!$K194))</f>
        <v>74594.06547869202</v>
      </c>
      <c r="AB195" s="366">
        <f>(102*'Emissions Factors'!$C$36*'Calcs - Power'!$B194+'Emissions Factors'!$C$35*('Calcs - Power'!$C194+'Calcs - Power'!$D194+'Calcs - Power'!$E194+'Calcs - Power'!$F194))</f>
        <v>7818905.340211303</v>
      </c>
      <c r="AI195" s="358">
        <f t="shared" si="32"/>
        <v>183</v>
      </c>
      <c r="AJ195" s="359">
        <f>(('Methane Leakage'!$G$6/'Methane Leakage'!$G$5)*102*'Emissions Factors'!$D$10*'Calcs - Power'!$G194+'Emissions Factors'!$D$11*('Calcs - Power'!$H194+'Calcs - Power'!$I194+'Calcs - Power'!$J194+'Calcs - Power'!$K194))</f>
        <v>5436.0126390588775</v>
      </c>
      <c r="AK195" s="366">
        <f>(('Methane Leakage'!$G$6/'Methane Leakage'!$G$5)*102*'Emissions Factors'!$D$10*'Calcs - Power'!$B194+'Emissions Factors'!$D$11*('Calcs - Power'!$C194+'Calcs - Power'!$D194+'Calcs - Power'!$E194+'Calcs - Power'!$F194))</f>
        <v>613796.08314686886</v>
      </c>
      <c r="AL195" s="359">
        <f>(102*'Emissions Factors'!$E$10*'Calcs - Power'!$G194+'Emissions Factors'!$E$11*('Calcs - Power'!H194+'Calcs - Power'!I194+'Calcs - Power'!J194+'Calcs - Power'!K194))</f>
        <v>6631.2754998593437</v>
      </c>
      <c r="AM195" s="366">
        <f>(102*'Emissions Factors'!$E$10*'Calcs - Power'!$B194+'Emissions Factors'!$E$11*('Calcs - Power'!C194+'Calcs - Power'!D194+'Calcs - Power'!E194+'Calcs - Power'!F194))</f>
        <v>698066.70712424372</v>
      </c>
      <c r="AN195" s="359">
        <f>(102*'Emissions Factors'!$D$10*'Calcs - Power'!$G194+'Emissions Factors'!$D$11*('Calcs - Power'!$H194+'Calcs - Power'!$I194+'Calcs - Power'!$J194+'Calcs - Power'!$K194))</f>
        <v>5436.0126390588775</v>
      </c>
      <c r="AO195" s="366">
        <f>(102*'Emissions Factors'!$D$10*'Calcs - Power'!$B194+'Emissions Factors'!$D$11*('Calcs - Power'!$C194+'Calcs - Power'!$D194+'Calcs - Power'!$E194+'Calcs - Power'!$F194))</f>
        <v>613796.08314686886</v>
      </c>
      <c r="AP195" s="367">
        <f>(102*'Emissions Factors'!$E$10*'Calcs - Power'!$G194+'Emissions Factors'!$E$11*('Calcs - Power'!H194+'Calcs - Power'!I194+'Calcs - Power'!J194+'Calcs - Power'!K194))</f>
        <v>6631.2754998593437</v>
      </c>
      <c r="AQ195" s="366">
        <f>(102*'Emissions Factors'!$E$10*'Calcs - Power'!$B194+'Emissions Factors'!$E$11*('Calcs - Power'!C194+'Calcs - Power'!D194+'Calcs - Power'!E194+'Calcs - Power'!F194))</f>
        <v>698066.70712424372</v>
      </c>
      <c r="AS195" s="357"/>
      <c r="AT195" s="357"/>
      <c r="AU195" s="357"/>
      <c r="AV195" s="357"/>
      <c r="AX195" s="358">
        <f t="shared" si="33"/>
        <v>183</v>
      </c>
      <c r="AY195" s="359">
        <f>(('Methane Leakage'!$G$6/'Methane Leakage'!$G$5)*102*'Emissions Factors'!$F$10*'Calcs - Power'!$G194+'Emissions Factors'!$F$11*('Calcs - Power'!$H194+'Calcs - Power'!$I194+'Calcs - Power'!$J194+'Calcs - Power'!$K194))</f>
        <v>7529172.9762342041</v>
      </c>
      <c r="AZ195" s="366">
        <f>(('Methane Leakage'!$G$6/'Methane Leakage'!$G$5)*102*'Emissions Factors'!$F$10*'Calcs - Power'!$B194+'Emissions Factors'!$F$11*('Calcs - Power'!$C194+'Calcs - Power'!$D194+'Calcs - Power'!$E194+'Calcs - Power'!$F194))</f>
        <v>832392012.51059592</v>
      </c>
      <c r="BA195" s="359">
        <f>(102*'Emissions Factors'!$G$10*'Calcs - Power'!$G194+'Emissions Factors'!$G$11*('Calcs - Power'!H194+'Calcs - Power'!I194+'Calcs - Power'!J194+'Calcs - Power'!K194))</f>
        <v>7665347.9182325099</v>
      </c>
      <c r="BB195" s="366">
        <f>(102*'Emissions Factors'!$G$10*'Calcs - Power'!$B194+'Emissions Factors'!$G$11*('Calcs - Power'!C194+'Calcs - Power'!D194+'Calcs - Power'!E194+'Calcs - Power'!F194))</f>
        <v>805111611.89832807</v>
      </c>
      <c r="BC195" s="359">
        <f>(102*'Emissions Factors'!$F$10*'Calcs - Power'!$G194+'Emissions Factors'!$F$11*('Calcs - Power'!$H194+'Calcs - Power'!$I194+'Calcs - Power'!$J194+'Calcs - Power'!$K194))</f>
        <v>7529172.9762342041</v>
      </c>
      <c r="BD195" s="366">
        <f>(102*'Emissions Factors'!$F$10*'Calcs - Power'!$B194+'Emissions Factors'!$F$11*('Calcs - Power'!$C194+'Calcs - Power'!$D194+'Calcs - Power'!$E194+'Calcs - Power'!$F194))</f>
        <v>832392012.51059592</v>
      </c>
      <c r="BE195" s="359">
        <f>(102*'Emissions Factors'!$G$10*'Calcs - Power'!$G194+'Emissions Factors'!$G$11*('Calcs - Power'!H194+'Calcs - Power'!I194+'Calcs - Power'!J194+'Calcs - Power'!K194))</f>
        <v>7665347.9182325099</v>
      </c>
      <c r="BF195" s="366">
        <f>(102*'Emissions Factors'!$G$10*'Calcs - Power'!$B194+'Emissions Factors'!$G$11*('Calcs - Power'!C194+'Calcs - Power'!D194+'Calcs - Power'!E194+'Calcs - Power'!F194))</f>
        <v>805111611.89832807</v>
      </c>
    </row>
    <row r="196" spans="1:58" x14ac:dyDescent="0.3">
      <c r="A196" s="351">
        <f t="shared" si="30"/>
        <v>184</v>
      </c>
      <c r="B196" s="352">
        <f t="shared" si="24"/>
        <v>0.99999999999999989</v>
      </c>
      <c r="C196" s="363">
        <f t="shared" si="25"/>
        <v>0.99999999999999978</v>
      </c>
      <c r="D196" s="352">
        <f t="shared" si="26"/>
        <v>1</v>
      </c>
      <c r="E196" s="364">
        <f t="shared" si="27"/>
        <v>1</v>
      </c>
      <c r="F196" s="364">
        <f t="shared" si="28"/>
        <v>1</v>
      </c>
      <c r="G196" s="365">
        <f t="shared" si="29"/>
        <v>1</v>
      </c>
      <c r="P196" s="358">
        <f t="shared" si="31"/>
        <v>184</v>
      </c>
      <c r="Q196" s="359">
        <f>(('Methane Leakage'!$C$6/'Methane Leakage'!$C$5)*102*'Emissions Factors'!$C$38*'Calcs - Power'!$G195+'Emissions Factors'!$C$37*('Calcs - Power'!$H195+'Calcs - Power'!$I195+'Calcs - Power'!$J195+'Calcs - Power'!$K195))</f>
        <v>40070.360947965244</v>
      </c>
      <c r="R196" s="366">
        <f>(('Methane Leakage'!$C$6/'Methane Leakage'!$C$5)*102*'Emissions Factors'!$C$38*'Calcs - Power'!$B195+'Emissions Factors'!$C$37*('Calcs - Power'!$C195+'Calcs - Power'!$D195+'Calcs - Power'!$E195+'Calcs - Power'!$F195))</f>
        <v>4459426.9380861595</v>
      </c>
      <c r="S196" s="359">
        <f>(('Methane Leakage'!$C$6/'Methane Leakage'!$C$5)*102*'Emissions Factors'!$D$38*'Calcs - Power'!$G195+'Emissions Factors'!$D$37*('Calcs - Power'!$H195+'Calcs - Power'!$I195+'Calcs - Power'!$J195+'Calcs - Power'!$K195))</f>
        <v>40070.360947965244</v>
      </c>
      <c r="T196" s="366">
        <f>(('Methane Leakage'!$C$6/'Methane Leakage'!$C$5)*102*'Emissions Factors'!$D$38*'Calcs - Power'!$B195+'Emissions Factors'!$D$37*('Calcs - Power'!$C195+'Calcs - Power'!$D195+'Calcs - Power'!$E195+'Calcs - Power'!$F195))</f>
        <v>4459426.9380861595</v>
      </c>
      <c r="U196" s="361">
        <f>(102*'Emissions Factors'!$C$36*'Calcs - Power'!$G195+'Emissions Factors'!$C$35*('Calcs - Power'!$H195+'Calcs - Power'!$I195+'Calcs - Power'!$J195+'Calcs - Power'!$K195))</f>
        <v>74893.42354396786</v>
      </c>
      <c r="V196" s="366">
        <f>(102*'Emissions Factors'!$C$36*'Calcs - Power'!$B195+'Emissions Factors'!$C$35*('Calcs - Power'!$C195+'Calcs - Power'!$D195+'Calcs - Power'!$E195+'Calcs - Power'!$F195))</f>
        <v>7893649.1269638082</v>
      </c>
      <c r="W196" s="359">
        <f>(102*'Emissions Factors'!$D$36*'Calcs - Power'!$G195+'Emissions Factors'!$D$35*('Calcs - Power'!$H195+'Calcs - Power'!$I195+'Calcs - Power'!$J195+'Calcs - Power'!$K195))</f>
        <v>74893.42354396786</v>
      </c>
      <c r="X196" s="366">
        <f>(102*'Emissions Factors'!$D$36*'Calcs - Power'!$B195+'Emissions Factors'!$D$35*('Calcs - Power'!$C195+'Calcs - Power'!$D195+'Calcs - Power'!$E195+'Calcs - Power'!$F195))</f>
        <v>7893649.1269638082</v>
      </c>
      <c r="Y196" s="359">
        <f>(102*'Emissions Factors'!$C$38*'Calcs - Power'!$G195+'Emissions Factors'!$C$37*('Calcs - Power'!$H195+'Calcs - Power'!$I195+'Calcs - Power'!$J195+'Calcs - Power'!$K195))</f>
        <v>40070.360947965244</v>
      </c>
      <c r="Z196" s="366">
        <f>(102*'Emissions Factors'!$C$38*'Calcs - Power'!$B195+'Emissions Factors'!$C$37*('Calcs - Power'!$C195+'Calcs - Power'!$D195+'Calcs - Power'!$E195+'Calcs - Power'!$F195))</f>
        <v>4459426.9380861595</v>
      </c>
      <c r="AA196" s="359">
        <f>(102*'Emissions Factors'!$C$36*'Calcs - Power'!$G195+'Emissions Factors'!$C$35*('Calcs - Power'!$H195+'Calcs - Power'!$I195+'Calcs - Power'!$J195+'Calcs - Power'!$K195))</f>
        <v>74893.42354396786</v>
      </c>
      <c r="AB196" s="366">
        <f>(102*'Emissions Factors'!$C$36*'Calcs - Power'!$B195+'Emissions Factors'!$C$35*('Calcs - Power'!$C195+'Calcs - Power'!$D195+'Calcs - Power'!$E195+'Calcs - Power'!$F195))</f>
        <v>7893649.1269638082</v>
      </c>
      <c r="AI196" s="358">
        <f t="shared" si="32"/>
        <v>184</v>
      </c>
      <c r="AJ196" s="359">
        <f>(('Methane Leakage'!$G$6/'Methane Leakage'!$G$5)*102*'Emissions Factors'!$D$10*'Calcs - Power'!$G195+'Emissions Factors'!$D$11*('Calcs - Power'!$H195+'Calcs - Power'!$I195+'Calcs - Power'!$J195+'Calcs - Power'!$K195))</f>
        <v>5455.1603251014858</v>
      </c>
      <c r="AK196" s="366">
        <f>(('Methane Leakage'!$G$6/'Methane Leakage'!$G$5)*102*'Emissions Factors'!$D$10*'Calcs - Power'!$B195+'Emissions Factors'!$D$11*('Calcs - Power'!$C195+'Calcs - Power'!$D195+'Calcs - Power'!$E195+'Calcs - Power'!$F195))</f>
        <v>619241.67233088578</v>
      </c>
      <c r="AL196" s="359">
        <f>(102*'Emissions Factors'!$E$10*'Calcs - Power'!$G195+'Emissions Factors'!$E$11*('Calcs - Power'!H195+'Calcs - Power'!I195+'Calcs - Power'!J195+'Calcs - Power'!K195))</f>
        <v>6657.7071547789947</v>
      </c>
      <c r="AM196" s="366">
        <f>(102*'Emissions Factors'!$E$10*'Calcs - Power'!$B195+'Emissions Factors'!$E$11*('Calcs - Power'!C195+'Calcs - Power'!D195+'Calcs - Power'!E195+'Calcs - Power'!F195))</f>
        <v>704711.20218123018</v>
      </c>
      <c r="AN196" s="359">
        <f>(102*'Emissions Factors'!$D$10*'Calcs - Power'!$G195+'Emissions Factors'!$D$11*('Calcs - Power'!$H195+'Calcs - Power'!$I195+'Calcs - Power'!$J195+'Calcs - Power'!$K195))</f>
        <v>5455.1603251014858</v>
      </c>
      <c r="AO196" s="366">
        <f>(102*'Emissions Factors'!$D$10*'Calcs - Power'!$B195+'Emissions Factors'!$D$11*('Calcs - Power'!$C195+'Calcs - Power'!$D195+'Calcs - Power'!$E195+'Calcs - Power'!$F195))</f>
        <v>619241.67233088578</v>
      </c>
      <c r="AP196" s="367">
        <f>(102*'Emissions Factors'!$E$10*'Calcs - Power'!$G195+'Emissions Factors'!$E$11*('Calcs - Power'!H195+'Calcs - Power'!I195+'Calcs - Power'!J195+'Calcs - Power'!K195))</f>
        <v>6657.7071547789947</v>
      </c>
      <c r="AQ196" s="366">
        <f>(102*'Emissions Factors'!$E$10*'Calcs - Power'!$B195+'Emissions Factors'!$E$11*('Calcs - Power'!C195+'Calcs - Power'!D195+'Calcs - Power'!E195+'Calcs - Power'!F195))</f>
        <v>704711.20218123018</v>
      </c>
      <c r="AS196" s="357"/>
      <c r="AT196" s="357"/>
      <c r="AU196" s="357"/>
      <c r="AV196" s="357"/>
      <c r="AX196" s="358">
        <f t="shared" si="33"/>
        <v>184</v>
      </c>
      <c r="AY196" s="359">
        <f>(('Methane Leakage'!$G$6/'Methane Leakage'!$G$5)*102*'Emissions Factors'!$F$10*'Calcs - Power'!$G195+'Emissions Factors'!$F$11*('Calcs - Power'!$H195+'Calcs - Power'!$I195+'Calcs - Power'!$J195+'Calcs - Power'!$K195))</f>
        <v>7556769.8432538379</v>
      </c>
      <c r="AZ196" s="366">
        <f>(('Methane Leakage'!$G$6/'Methane Leakage'!$G$5)*102*'Emissions Factors'!$F$10*'Calcs - Power'!$B195+'Emissions Factors'!$F$11*('Calcs - Power'!$C195+'Calcs - Power'!$D195+'Calcs - Power'!$E195+'Calcs - Power'!$F195))</f>
        <v>839934987.81450403</v>
      </c>
      <c r="BA196" s="359">
        <f>(102*'Emissions Factors'!$G$10*'Calcs - Power'!$G195+'Emissions Factors'!$G$11*('Calcs - Power'!H195+'Calcs - Power'!I195+'Calcs - Power'!J195+'Calcs - Power'!K195))</f>
        <v>7696011.0904683974</v>
      </c>
      <c r="BB196" s="366">
        <f>(102*'Emissions Factors'!$G$10*'Calcs - Power'!$B195+'Emissions Factors'!$G$11*('Calcs - Power'!C195+'Calcs - Power'!D195+'Calcs - Power'!E195+'Calcs - Power'!F195))</f>
        <v>812792295.72943497</v>
      </c>
      <c r="BC196" s="359">
        <f>(102*'Emissions Factors'!$F$10*'Calcs - Power'!$G195+'Emissions Factors'!$F$11*('Calcs - Power'!$H195+'Calcs - Power'!$I195+'Calcs - Power'!$J195+'Calcs - Power'!$K195))</f>
        <v>7556769.8432538379</v>
      </c>
      <c r="BD196" s="366">
        <f>(102*'Emissions Factors'!$F$10*'Calcs - Power'!$B195+'Emissions Factors'!$F$11*('Calcs - Power'!$C195+'Calcs - Power'!$D195+'Calcs - Power'!$E195+'Calcs - Power'!$F195))</f>
        <v>839934987.81450403</v>
      </c>
      <c r="BE196" s="359">
        <f>(102*'Emissions Factors'!$G$10*'Calcs - Power'!$G195+'Emissions Factors'!$G$11*('Calcs - Power'!H195+'Calcs - Power'!I195+'Calcs - Power'!J195+'Calcs - Power'!K195))</f>
        <v>7696011.0904683974</v>
      </c>
      <c r="BF196" s="366">
        <f>(102*'Emissions Factors'!$G$10*'Calcs - Power'!$B195+'Emissions Factors'!$G$11*('Calcs - Power'!C195+'Calcs - Power'!D195+'Calcs - Power'!E195+'Calcs - Power'!F195))</f>
        <v>812792295.72943497</v>
      </c>
    </row>
    <row r="197" spans="1:58" x14ac:dyDescent="0.3">
      <c r="A197" s="351">
        <f t="shared" si="30"/>
        <v>185</v>
      </c>
      <c r="B197" s="352">
        <f t="shared" ref="B197:B212" si="34">(($I$3*Q197)+($J$3*S197)+($K$3*U197)+($L$3*W197))/(($M$3*Y197)+($N$3*AA197))</f>
        <v>1</v>
      </c>
      <c r="C197" s="363">
        <f t="shared" ref="C197:C212" si="35">(($I$3*R197)+($J$3*T197)+($K$3*V197)+($L$3*X197))/(($M$3*Z197)+($N$3*AB197))</f>
        <v>0.99999999999999978</v>
      </c>
      <c r="D197" s="352">
        <f t="shared" ref="D197:D212" si="36">(($AD$3*AJ197)+($AE$3*AL197))/(($AF$3*AN197)+($AG$3*AP197))</f>
        <v>1</v>
      </c>
      <c r="E197" s="364">
        <f t="shared" ref="E197:E212" si="37">(($AD$3*AK197)+($AE$3*AM197))/(($AF$3*AO197)+($AG$3*AQ197))</f>
        <v>1</v>
      </c>
      <c r="F197" s="364">
        <f t="shared" ref="F197:F212" si="38">(($AS$3*AY197)+($AT$3*BA197))/(($AU$3*BC197)+($AV$3*BE197))</f>
        <v>1</v>
      </c>
      <c r="G197" s="365">
        <f t="shared" ref="G197:G212" si="39">(($AS$3*AZ197)+($AT$3*BB197))/(($AU$3*BD197)+($AV$3*BF197))</f>
        <v>1</v>
      </c>
      <c r="P197" s="358">
        <f t="shared" si="31"/>
        <v>185</v>
      </c>
      <c r="Q197" s="359">
        <f>(('Methane Leakage'!$C$6/'Methane Leakage'!$C$5)*102*'Emissions Factors'!$C$38*'Calcs - Power'!$G196+'Emissions Factors'!$C$37*('Calcs - Power'!$H196+'Calcs - Power'!$I196+'Calcs - Power'!$J196+'Calcs - Power'!$K196))</f>
        <v>40216.112532427353</v>
      </c>
      <c r="R197" s="366">
        <f>(('Methane Leakage'!$C$6/'Methane Leakage'!$C$5)*102*'Emissions Factors'!$C$38*'Calcs - Power'!$B196+'Emissions Factors'!$C$37*('Calcs - Power'!$C196+'Calcs - Power'!$D196+'Calcs - Power'!$E196+'Calcs - Power'!$F196))</f>
        <v>4499570.1953074718</v>
      </c>
      <c r="S197" s="359">
        <f>(('Methane Leakage'!$C$6/'Methane Leakage'!$C$5)*102*'Emissions Factors'!$D$38*'Calcs - Power'!$G196+'Emissions Factors'!$D$37*('Calcs - Power'!$H196+'Calcs - Power'!$I196+'Calcs - Power'!$J196+'Calcs - Power'!$K196))</f>
        <v>40216.112532427353</v>
      </c>
      <c r="T197" s="366">
        <f>(('Methane Leakage'!$C$6/'Methane Leakage'!$C$5)*102*'Emissions Factors'!$D$38*'Calcs - Power'!$B196+'Emissions Factors'!$D$37*('Calcs - Power'!$C196+'Calcs - Power'!$D196+'Calcs - Power'!$E196+'Calcs - Power'!$F196))</f>
        <v>4499570.1953074718</v>
      </c>
      <c r="U197" s="361">
        <f>(102*'Emissions Factors'!$C$36*'Calcs - Power'!$G196+'Emissions Factors'!$C$35*('Calcs - Power'!$H196+'Calcs - Power'!$I196+'Calcs - Power'!$J196+'Calcs - Power'!$K196))</f>
        <v>75192.276198760184</v>
      </c>
      <c r="V197" s="366">
        <f>(102*'Emissions Factors'!$C$36*'Calcs - Power'!$B196+'Emissions Factors'!$C$35*('Calcs - Power'!$C196+'Calcs - Power'!$D196+'Calcs - Power'!$E196+'Calcs - Power'!$F196))</f>
        <v>7968692.0188292935</v>
      </c>
      <c r="W197" s="359">
        <f>(102*'Emissions Factors'!$D$36*'Calcs - Power'!$G196+'Emissions Factors'!$D$35*('Calcs - Power'!$H196+'Calcs - Power'!$I196+'Calcs - Power'!$J196+'Calcs - Power'!$K196))</f>
        <v>75192.276198760184</v>
      </c>
      <c r="X197" s="366">
        <f>(102*'Emissions Factors'!$D$36*'Calcs - Power'!$B196+'Emissions Factors'!$D$35*('Calcs - Power'!$C196+'Calcs - Power'!$D196+'Calcs - Power'!$E196+'Calcs - Power'!$F196))</f>
        <v>7968692.0188292935</v>
      </c>
      <c r="Y197" s="359">
        <f>(102*'Emissions Factors'!$C$38*'Calcs - Power'!$G196+'Emissions Factors'!$C$37*('Calcs - Power'!$H196+'Calcs - Power'!$I196+'Calcs - Power'!$J196+'Calcs - Power'!$K196))</f>
        <v>40216.112532427353</v>
      </c>
      <c r="Z197" s="366">
        <f>(102*'Emissions Factors'!$C$38*'Calcs - Power'!$B196+'Emissions Factors'!$C$37*('Calcs - Power'!$C196+'Calcs - Power'!$D196+'Calcs - Power'!$E196+'Calcs - Power'!$F196))</f>
        <v>4499570.1953074718</v>
      </c>
      <c r="AA197" s="359">
        <f>(102*'Emissions Factors'!$C$36*'Calcs - Power'!$G196+'Emissions Factors'!$C$35*('Calcs - Power'!$H196+'Calcs - Power'!$I196+'Calcs - Power'!$J196+'Calcs - Power'!$K196))</f>
        <v>75192.276198760184</v>
      </c>
      <c r="AB197" s="366">
        <f>(102*'Emissions Factors'!$C$36*'Calcs - Power'!$B196+'Emissions Factors'!$C$35*('Calcs - Power'!$C196+'Calcs - Power'!$D196+'Calcs - Power'!$E196+'Calcs - Power'!$F196))</f>
        <v>7968692.0188292935</v>
      </c>
      <c r="AI197" s="358">
        <f t="shared" si="32"/>
        <v>185</v>
      </c>
      <c r="AJ197" s="359">
        <f>(('Methane Leakage'!$G$6/'Methane Leakage'!$G$5)*102*'Emissions Factors'!$D$10*'Calcs - Power'!$G196+'Emissions Factors'!$D$11*('Calcs - Power'!$H196+'Calcs - Power'!$I196+'Calcs - Power'!$J196+'Calcs - Power'!$K196))</f>
        <v>5474.2756828420288</v>
      </c>
      <c r="AK197" s="366">
        <f>(('Methane Leakage'!$G$6/'Methane Leakage'!$G$5)*102*'Emissions Factors'!$D$10*'Calcs - Power'!$B196+'Emissions Factors'!$D$11*('Calcs - Power'!$C196+'Calcs - Power'!$D196+'Calcs - Power'!$E196+'Calcs - Power'!$F196))</f>
        <v>624706.39302098495</v>
      </c>
      <c r="AL197" s="359">
        <f>(102*'Emissions Factors'!$E$10*'Calcs - Power'!$G196+'Emissions Factors'!$E$11*('Calcs - Power'!H196+'Calcs - Power'!I196+'Calcs - Power'!J196+'Calcs - Power'!K196))</f>
        <v>6684.0941846922024</v>
      </c>
      <c r="AM197" s="366">
        <f>(102*'Emissions Factors'!$E$10*'Calcs - Power'!$B196+'Emissions Factors'!$E$11*('Calcs - Power'!C196+'Calcs - Power'!D196+'Calcs - Power'!E196+'Calcs - Power'!F196))</f>
        <v>711382.10655881872</v>
      </c>
      <c r="AN197" s="359">
        <f>(102*'Emissions Factors'!$D$10*'Calcs - Power'!$G196+'Emissions Factors'!$D$11*('Calcs - Power'!$H196+'Calcs - Power'!$I196+'Calcs - Power'!$J196+'Calcs - Power'!$K196))</f>
        <v>5474.2756828420288</v>
      </c>
      <c r="AO197" s="366">
        <f>(102*'Emissions Factors'!$D$10*'Calcs - Power'!$B196+'Emissions Factors'!$D$11*('Calcs - Power'!$C196+'Calcs - Power'!$D196+'Calcs - Power'!$E196+'Calcs - Power'!$F196))</f>
        <v>624706.39302098495</v>
      </c>
      <c r="AP197" s="367">
        <f>(102*'Emissions Factors'!$E$10*'Calcs - Power'!$G196+'Emissions Factors'!$E$11*('Calcs - Power'!H196+'Calcs - Power'!I196+'Calcs - Power'!J196+'Calcs - Power'!K196))</f>
        <v>6684.0941846922024</v>
      </c>
      <c r="AQ197" s="366">
        <f>(102*'Emissions Factors'!$E$10*'Calcs - Power'!$B196+'Emissions Factors'!$E$11*('Calcs - Power'!C196+'Calcs - Power'!D196+'Calcs - Power'!E196+'Calcs - Power'!F196))</f>
        <v>711382.10655881872</v>
      </c>
      <c r="AS197" s="357"/>
      <c r="AT197" s="357"/>
      <c r="AU197" s="357"/>
      <c r="AV197" s="357"/>
      <c r="AX197" s="358">
        <f t="shared" si="33"/>
        <v>185</v>
      </c>
      <c r="AY197" s="359">
        <f>(('Methane Leakage'!$G$6/'Methane Leakage'!$G$5)*102*'Emissions Factors'!$F$10*'Calcs - Power'!$G196+'Emissions Factors'!$F$11*('Calcs - Power'!$H196+'Calcs - Power'!$I196+'Calcs - Power'!$J196+'Calcs - Power'!$K196))</f>
        <v>7584320.1171170715</v>
      </c>
      <c r="AZ197" s="366">
        <f>(('Methane Leakage'!$G$6/'Methane Leakage'!$G$5)*102*'Emissions Factors'!$F$10*'Calcs - Power'!$B196+'Emissions Factors'!$F$11*('Calcs - Power'!$C196+'Calcs - Power'!$D196+'Calcs - Power'!$E196+'Calcs - Power'!$F196))</f>
        <v>847505536.66607153</v>
      </c>
      <c r="BA197" s="359">
        <f>(102*'Emissions Factors'!$G$10*'Calcs - Power'!$G196+'Emissions Factors'!$G$11*('Calcs - Power'!H196+'Calcs - Power'!I196+'Calcs - Power'!J196+'Calcs - Power'!K196))</f>
        <v>7726622.4935972346</v>
      </c>
      <c r="BB197" s="366">
        <f>(102*'Emissions Factors'!$G$10*'Calcs - Power'!$B196+'Emissions Factors'!$G$11*('Calcs - Power'!C196+'Calcs - Power'!D196+'Calcs - Power'!E196+'Calcs - Power'!F196))</f>
        <v>820503616.82291806</v>
      </c>
      <c r="BC197" s="359">
        <f>(102*'Emissions Factors'!$F$10*'Calcs - Power'!$G196+'Emissions Factors'!$F$11*('Calcs - Power'!$H196+'Calcs - Power'!$I196+'Calcs - Power'!$J196+'Calcs - Power'!$K196))</f>
        <v>7584320.1171170715</v>
      </c>
      <c r="BD197" s="366">
        <f>(102*'Emissions Factors'!$F$10*'Calcs - Power'!$B196+'Emissions Factors'!$F$11*('Calcs - Power'!$C196+'Calcs - Power'!$D196+'Calcs - Power'!$E196+'Calcs - Power'!$F196))</f>
        <v>847505536.66607153</v>
      </c>
      <c r="BE197" s="359">
        <f>(102*'Emissions Factors'!$G$10*'Calcs - Power'!$G196+'Emissions Factors'!$G$11*('Calcs - Power'!H196+'Calcs - Power'!I196+'Calcs - Power'!J196+'Calcs - Power'!K196))</f>
        <v>7726622.4935972346</v>
      </c>
      <c r="BF197" s="366">
        <f>(102*'Emissions Factors'!$G$10*'Calcs - Power'!$B196+'Emissions Factors'!$G$11*('Calcs - Power'!C196+'Calcs - Power'!D196+'Calcs - Power'!E196+'Calcs - Power'!F196))</f>
        <v>820503616.82291806</v>
      </c>
    </row>
    <row r="198" spans="1:58" x14ac:dyDescent="0.3">
      <c r="A198" s="351">
        <f t="shared" si="30"/>
        <v>186</v>
      </c>
      <c r="B198" s="352">
        <f t="shared" si="34"/>
        <v>0.99999999999999989</v>
      </c>
      <c r="C198" s="363">
        <f t="shared" si="35"/>
        <v>0.99999999999999978</v>
      </c>
      <c r="D198" s="352">
        <f t="shared" si="36"/>
        <v>1</v>
      </c>
      <c r="E198" s="364">
        <f t="shared" si="37"/>
        <v>1</v>
      </c>
      <c r="F198" s="364">
        <f t="shared" si="38"/>
        <v>1</v>
      </c>
      <c r="G198" s="365">
        <f t="shared" si="39"/>
        <v>1</v>
      </c>
      <c r="P198" s="358">
        <f t="shared" si="31"/>
        <v>186</v>
      </c>
      <c r="Q198" s="359">
        <f>(('Methane Leakage'!$C$6/'Methane Leakage'!$C$5)*102*'Emissions Factors'!$C$38*'Calcs - Power'!$G197+'Emissions Factors'!$C$37*('Calcs - Power'!$H197+'Calcs - Power'!$I197+'Calcs - Power'!$J197+'Calcs - Power'!$K197))</f>
        <v>40361.619062580823</v>
      </c>
      <c r="R198" s="366">
        <f>(('Methane Leakage'!$C$6/'Methane Leakage'!$C$5)*102*'Emissions Factors'!$C$38*'Calcs - Power'!$B197+'Emissions Factors'!$C$37*('Calcs - Power'!$C197+'Calcs - Power'!$D197+'Calcs - Power'!$E197+'Calcs - Power'!$F197))</f>
        <v>4539859.0814663498</v>
      </c>
      <c r="S198" s="359">
        <f>(('Methane Leakage'!$C$6/'Methane Leakage'!$C$5)*102*'Emissions Factors'!$D$38*'Calcs - Power'!$G197+'Emissions Factors'!$D$37*('Calcs - Power'!$H197+'Calcs - Power'!$I197+'Calcs - Power'!$J197+'Calcs - Power'!$K197))</f>
        <v>40361.619062580823</v>
      </c>
      <c r="T198" s="366">
        <f>(('Methane Leakage'!$C$6/'Methane Leakage'!$C$5)*102*'Emissions Factors'!$D$38*'Calcs - Power'!$B197+'Emissions Factors'!$D$37*('Calcs - Power'!$C197+'Calcs - Power'!$D197+'Calcs - Power'!$E197+'Calcs - Power'!$F197))</f>
        <v>4539859.0814663498</v>
      </c>
      <c r="U198" s="361">
        <f>(102*'Emissions Factors'!$C$36*'Calcs - Power'!$G197+'Emissions Factors'!$C$35*('Calcs - Power'!$H197+'Calcs - Power'!$I197+'Calcs - Power'!$J197+'Calcs - Power'!$K197))</f>
        <v>75490.626398105203</v>
      </c>
      <c r="V198" s="366">
        <f>(102*'Emissions Factors'!$C$36*'Calcs - Power'!$B197+'Emissions Factors'!$C$35*('Calcs - Power'!$C197+'Calcs - Power'!$D197+'Calcs - Power'!$E197+'Calcs - Power'!$F197))</f>
        <v>8044033.511876394</v>
      </c>
      <c r="W198" s="359">
        <f>(102*'Emissions Factors'!$D$36*'Calcs - Power'!$G197+'Emissions Factors'!$D$35*('Calcs - Power'!$H197+'Calcs - Power'!$I197+'Calcs - Power'!$J197+'Calcs - Power'!$K197))</f>
        <v>75490.626398105203</v>
      </c>
      <c r="X198" s="366">
        <f>(102*'Emissions Factors'!$D$36*'Calcs - Power'!$B197+'Emissions Factors'!$D$35*('Calcs - Power'!$C197+'Calcs - Power'!$D197+'Calcs - Power'!$E197+'Calcs - Power'!$F197))</f>
        <v>8044033.511876394</v>
      </c>
      <c r="Y198" s="359">
        <f>(102*'Emissions Factors'!$C$38*'Calcs - Power'!$G197+'Emissions Factors'!$C$37*('Calcs - Power'!$H197+'Calcs - Power'!$I197+'Calcs - Power'!$J197+'Calcs - Power'!$K197))</f>
        <v>40361.619062580823</v>
      </c>
      <c r="Z198" s="366">
        <f>(102*'Emissions Factors'!$C$38*'Calcs - Power'!$B197+'Emissions Factors'!$C$37*('Calcs - Power'!$C197+'Calcs - Power'!$D197+'Calcs - Power'!$E197+'Calcs - Power'!$F197))</f>
        <v>4539859.0814663498</v>
      </c>
      <c r="AA198" s="359">
        <f>(102*'Emissions Factors'!$C$36*'Calcs - Power'!$G197+'Emissions Factors'!$C$35*('Calcs - Power'!$H197+'Calcs - Power'!$I197+'Calcs - Power'!$J197+'Calcs - Power'!$K197))</f>
        <v>75490.626398105203</v>
      </c>
      <c r="AB198" s="366">
        <f>(102*'Emissions Factors'!$C$36*'Calcs - Power'!$B197+'Emissions Factors'!$C$35*('Calcs - Power'!$C197+'Calcs - Power'!$D197+'Calcs - Power'!$E197+'Calcs - Power'!$F197))</f>
        <v>8044033.511876394</v>
      </c>
      <c r="AI198" s="358">
        <f t="shared" si="32"/>
        <v>186</v>
      </c>
      <c r="AJ198" s="359">
        <f>(('Methane Leakage'!$G$6/'Methane Leakage'!$G$5)*102*'Emissions Factors'!$D$10*'Calcs - Power'!$G197+'Emissions Factors'!$D$11*('Calcs - Power'!$H197+'Calcs - Power'!$I197+'Calcs - Power'!$J197+'Calcs - Power'!$K197))</f>
        <v>5493.3589013727978</v>
      </c>
      <c r="AK198" s="366">
        <f>(('Methane Leakage'!$G$6/'Methane Leakage'!$G$5)*102*'Emissions Factors'!$D$10*'Calcs - Power'!$B197+'Emissions Factors'!$D$11*('Calcs - Power'!$C197+'Calcs - Power'!$D197+'Calcs - Power'!$E197+'Calcs - Power'!$F197))</f>
        <v>630190.2129835136</v>
      </c>
      <c r="AL198" s="359">
        <f>(102*'Emissions Factors'!$E$10*'Calcs - Power'!$G197+'Emissions Factors'!$E$11*('Calcs - Power'!H197+'Calcs - Power'!I197+'Calcs - Power'!J197+'Calcs - Power'!K197))</f>
        <v>6710.4368505177299</v>
      </c>
      <c r="AM198" s="366">
        <f>(102*'Emissions Factors'!$E$10*'Calcs - Power'!$B197+'Emissions Factors'!$E$11*('Calcs - Power'!C197+'Calcs - Power'!D197+'Calcs - Power'!E197+'Calcs - Power'!F197))</f>
        <v>718079.37576260418</v>
      </c>
      <c r="AN198" s="359">
        <f>(102*'Emissions Factors'!$D$10*'Calcs - Power'!$G197+'Emissions Factors'!$D$11*('Calcs - Power'!$H197+'Calcs - Power'!$I197+'Calcs - Power'!$J197+'Calcs - Power'!$K197))</f>
        <v>5493.3589013727978</v>
      </c>
      <c r="AO198" s="366">
        <f>(102*'Emissions Factors'!$D$10*'Calcs - Power'!$B197+'Emissions Factors'!$D$11*('Calcs - Power'!$C197+'Calcs - Power'!$D197+'Calcs - Power'!$E197+'Calcs - Power'!$F197))</f>
        <v>630190.2129835136</v>
      </c>
      <c r="AP198" s="367">
        <f>(102*'Emissions Factors'!$E$10*'Calcs - Power'!$G197+'Emissions Factors'!$E$11*('Calcs - Power'!H197+'Calcs - Power'!I197+'Calcs - Power'!J197+'Calcs - Power'!K197))</f>
        <v>6710.4368505177299</v>
      </c>
      <c r="AQ198" s="366">
        <f>(102*'Emissions Factors'!$E$10*'Calcs - Power'!$B197+'Emissions Factors'!$E$11*('Calcs - Power'!C197+'Calcs - Power'!D197+'Calcs - Power'!E197+'Calcs - Power'!F197))</f>
        <v>718079.37576260418</v>
      </c>
      <c r="AS198" s="357"/>
      <c r="AT198" s="357"/>
      <c r="AU198" s="357"/>
      <c r="AV198" s="357"/>
      <c r="AX198" s="358">
        <f t="shared" si="33"/>
        <v>186</v>
      </c>
      <c r="AY198" s="359">
        <f>(('Methane Leakage'!$G$6/'Methane Leakage'!$G$5)*102*'Emissions Factors'!$F$10*'Calcs - Power'!$G197+'Emissions Factors'!$F$11*('Calcs - Power'!$H197+'Calcs - Power'!$I197+'Calcs - Power'!$J197+'Calcs - Power'!$K197))</f>
        <v>7611824.0703186318</v>
      </c>
      <c r="AZ198" s="366">
        <f>(('Methane Leakage'!$G$6/'Methane Leakage'!$G$5)*102*'Emissions Factors'!$F$10*'Calcs - Power'!$B197+'Emissions Factors'!$F$11*('Calcs - Power'!$C197+'Calcs - Power'!$D197+'Calcs - Power'!$E197+'Calcs - Power'!$F197))</f>
        <v>855103612.60853744</v>
      </c>
      <c r="BA198" s="359">
        <f>(102*'Emissions Factors'!$G$10*'Calcs - Power'!$G197+'Emissions Factors'!$G$11*('Calcs - Power'!H197+'Calcs - Power'!I197+'Calcs - Power'!J197+'Calcs - Power'!K197))</f>
        <v>7757182.4303056477</v>
      </c>
      <c r="BB198" s="366">
        <f>(102*'Emissions Factors'!$G$10*'Calcs - Power'!$B197+'Emissions Factors'!$G$11*('Calcs - Power'!C197+'Calcs - Power'!D197+'Calcs - Power'!E197+'Calcs - Power'!F197))</f>
        <v>828245523.56117773</v>
      </c>
      <c r="BC198" s="359">
        <f>(102*'Emissions Factors'!$F$10*'Calcs - Power'!$G197+'Emissions Factors'!$F$11*('Calcs - Power'!$H197+'Calcs - Power'!$I197+'Calcs - Power'!$J197+'Calcs - Power'!$K197))</f>
        <v>7611824.0703186318</v>
      </c>
      <c r="BD198" s="366">
        <f>(102*'Emissions Factors'!$F$10*'Calcs - Power'!$B197+'Emissions Factors'!$F$11*('Calcs - Power'!$C197+'Calcs - Power'!$D197+'Calcs - Power'!$E197+'Calcs - Power'!$F197))</f>
        <v>855103612.60853744</v>
      </c>
      <c r="BE198" s="359">
        <f>(102*'Emissions Factors'!$G$10*'Calcs - Power'!$G197+'Emissions Factors'!$G$11*('Calcs - Power'!H197+'Calcs - Power'!I197+'Calcs - Power'!J197+'Calcs - Power'!K197))</f>
        <v>7757182.4303056477</v>
      </c>
      <c r="BF198" s="366">
        <f>(102*'Emissions Factors'!$G$10*'Calcs - Power'!$B197+'Emissions Factors'!$G$11*('Calcs - Power'!C197+'Calcs - Power'!D197+'Calcs - Power'!E197+'Calcs - Power'!F197))</f>
        <v>828245523.56117773</v>
      </c>
    </row>
    <row r="199" spans="1:58" x14ac:dyDescent="0.3">
      <c r="A199" s="351">
        <f t="shared" si="30"/>
        <v>187</v>
      </c>
      <c r="B199" s="352">
        <f t="shared" si="34"/>
        <v>0.99999999999999989</v>
      </c>
      <c r="C199" s="363">
        <f t="shared" si="35"/>
        <v>0.99999999999999978</v>
      </c>
      <c r="D199" s="352">
        <f t="shared" si="36"/>
        <v>1</v>
      </c>
      <c r="E199" s="364">
        <f t="shared" si="37"/>
        <v>1</v>
      </c>
      <c r="F199" s="364">
        <f t="shared" si="38"/>
        <v>1</v>
      </c>
      <c r="G199" s="365">
        <f t="shared" si="39"/>
        <v>1</v>
      </c>
      <c r="P199" s="358">
        <f t="shared" si="31"/>
        <v>187</v>
      </c>
      <c r="Q199" s="359">
        <f>(('Methane Leakage'!$C$6/'Methane Leakage'!$C$5)*102*'Emissions Factors'!$C$38*'Calcs - Power'!$G198+'Emissions Factors'!$C$37*('Calcs - Power'!$H198+'Calcs - Power'!$I198+'Calcs - Power'!$J198+'Calcs - Power'!$K198))</f>
        <v>40506.881970657312</v>
      </c>
      <c r="R199" s="366">
        <f>(('Methane Leakage'!$C$6/'Methane Leakage'!$C$5)*102*'Emissions Factors'!$C$38*'Calcs - Power'!$B198+'Emissions Factors'!$C$37*('Calcs - Power'!$C198+'Calcs - Power'!$D198+'Calcs - Power'!$E198+'Calcs - Power'!$F198))</f>
        <v>4580293.3522253772</v>
      </c>
      <c r="S199" s="359">
        <f>(('Methane Leakage'!$C$6/'Methane Leakage'!$C$5)*102*'Emissions Factors'!$D$38*'Calcs - Power'!$G198+'Emissions Factors'!$D$37*('Calcs - Power'!$H198+'Calcs - Power'!$I198+'Calcs - Power'!$J198+'Calcs - Power'!$K198))</f>
        <v>40506.881970657312</v>
      </c>
      <c r="T199" s="366">
        <f>(('Methane Leakage'!$C$6/'Methane Leakage'!$C$5)*102*'Emissions Factors'!$D$38*'Calcs - Power'!$B198+'Emissions Factors'!$D$37*('Calcs - Power'!$C198+'Calcs - Power'!$D198+'Calcs - Power'!$E198+'Calcs - Power'!$F198))</f>
        <v>4580293.3522253772</v>
      </c>
      <c r="U199" s="361">
        <f>(102*'Emissions Factors'!$C$36*'Calcs - Power'!$G198+'Emissions Factors'!$C$35*('Calcs - Power'!$H198+'Calcs - Power'!$I198+'Calcs - Power'!$J198+'Calcs - Power'!$K198))</f>
        <v>75788.477077873104</v>
      </c>
      <c r="V199" s="366">
        <f>(102*'Emissions Factors'!$C$36*'Calcs - Power'!$B198+'Emissions Factors'!$C$35*('Calcs - Power'!$C198+'Calcs - Power'!$D198+'Calcs - Power'!$E198+'Calcs - Power'!$F198))</f>
        <v>8119673.1051191874</v>
      </c>
      <c r="W199" s="359">
        <f>(102*'Emissions Factors'!$D$36*'Calcs - Power'!$G198+'Emissions Factors'!$D$35*('Calcs - Power'!$H198+'Calcs - Power'!$I198+'Calcs - Power'!$J198+'Calcs - Power'!$K198))</f>
        <v>75788.477077873104</v>
      </c>
      <c r="X199" s="366">
        <f>(102*'Emissions Factors'!$D$36*'Calcs - Power'!$B198+'Emissions Factors'!$D$35*('Calcs - Power'!$C198+'Calcs - Power'!$D198+'Calcs - Power'!$E198+'Calcs - Power'!$F198))</f>
        <v>8119673.1051191874</v>
      </c>
      <c r="Y199" s="359">
        <f>(102*'Emissions Factors'!$C$38*'Calcs - Power'!$G198+'Emissions Factors'!$C$37*('Calcs - Power'!$H198+'Calcs - Power'!$I198+'Calcs - Power'!$J198+'Calcs - Power'!$K198))</f>
        <v>40506.881970657312</v>
      </c>
      <c r="Z199" s="366">
        <f>(102*'Emissions Factors'!$C$38*'Calcs - Power'!$B198+'Emissions Factors'!$C$37*('Calcs - Power'!$C198+'Calcs - Power'!$D198+'Calcs - Power'!$E198+'Calcs - Power'!$F198))</f>
        <v>4580293.3522253772</v>
      </c>
      <c r="AA199" s="359">
        <f>(102*'Emissions Factors'!$C$36*'Calcs - Power'!$G198+'Emissions Factors'!$C$35*('Calcs - Power'!$H198+'Calcs - Power'!$I198+'Calcs - Power'!$J198+'Calcs - Power'!$K198))</f>
        <v>75788.477077873104</v>
      </c>
      <c r="AB199" s="366">
        <f>(102*'Emissions Factors'!$C$36*'Calcs - Power'!$B198+'Emissions Factors'!$C$35*('Calcs - Power'!$C198+'Calcs - Power'!$D198+'Calcs - Power'!$E198+'Calcs - Power'!$F198))</f>
        <v>8119673.1051191874</v>
      </c>
      <c r="AI199" s="358">
        <f t="shared" si="32"/>
        <v>187</v>
      </c>
      <c r="AJ199" s="359">
        <f>(('Methane Leakage'!$G$6/'Methane Leakage'!$G$5)*102*'Emissions Factors'!$D$10*'Calcs - Power'!$G198+'Emissions Factors'!$D$11*('Calcs - Power'!$H198+'Calcs - Power'!$I198+'Calcs - Power'!$J198+'Calcs - Power'!$K198))</f>
        <v>5512.4101685537053</v>
      </c>
      <c r="AK199" s="366">
        <f>(('Methane Leakage'!$G$6/'Methane Leakage'!$G$5)*102*'Emissions Factors'!$D$10*'Calcs - Power'!$B198+'Emissions Factors'!$D$11*('Calcs - Power'!$C198+'Calcs - Power'!$D198+'Calcs - Power'!$E198+'Calcs - Power'!$F198))</f>
        <v>635693.10017329408</v>
      </c>
      <c r="AL199" s="359">
        <f>(102*'Emissions Factors'!$E$10*'Calcs - Power'!$G198+'Emissions Factors'!$E$11*('Calcs - Power'!H198+'Calcs - Power'!I198+'Calcs - Power'!J198+'Calcs - Power'!K198))</f>
        <v>6736.7354114816517</v>
      </c>
      <c r="AM199" s="366">
        <f>(102*'Emissions Factors'!$E$10*'Calcs - Power'!$B198+'Emissions Factors'!$E$11*('Calcs - Power'!C198+'Calcs - Power'!D198+'Calcs - Power'!E198+'Calcs - Power'!F198))</f>
        <v>724802.96555825218</v>
      </c>
      <c r="AN199" s="359">
        <f>(102*'Emissions Factors'!$D$10*'Calcs - Power'!$G198+'Emissions Factors'!$D$11*('Calcs - Power'!$H198+'Calcs - Power'!$I198+'Calcs - Power'!$J198+'Calcs - Power'!$K198))</f>
        <v>5512.4101685537053</v>
      </c>
      <c r="AO199" s="366">
        <f>(102*'Emissions Factors'!$D$10*'Calcs - Power'!$B198+'Emissions Factors'!$D$11*('Calcs - Power'!$C198+'Calcs - Power'!$D198+'Calcs - Power'!$E198+'Calcs - Power'!$F198))</f>
        <v>635693.10017329408</v>
      </c>
      <c r="AP199" s="367">
        <f>(102*'Emissions Factors'!$E$10*'Calcs - Power'!$G198+'Emissions Factors'!$E$11*('Calcs - Power'!H198+'Calcs - Power'!I198+'Calcs - Power'!J198+'Calcs - Power'!K198))</f>
        <v>6736.7354114816517</v>
      </c>
      <c r="AQ199" s="366">
        <f>(102*'Emissions Factors'!$E$10*'Calcs - Power'!$B198+'Emissions Factors'!$E$11*('Calcs - Power'!C198+'Calcs - Power'!D198+'Calcs - Power'!E198+'Calcs - Power'!F198))</f>
        <v>724802.96555825218</v>
      </c>
      <c r="AS199" s="357"/>
      <c r="AT199" s="357"/>
      <c r="AU199" s="357"/>
      <c r="AV199" s="357"/>
      <c r="AX199" s="358">
        <f t="shared" si="33"/>
        <v>187</v>
      </c>
      <c r="AY199" s="359">
        <f>(('Methane Leakage'!$G$6/'Methane Leakage'!$G$5)*102*'Emissions Factors'!$F$10*'Calcs - Power'!$G198+'Emissions Factors'!$F$11*('Calcs - Power'!$H198+'Calcs - Power'!$I198+'Calcs - Power'!$J198+'Calcs - Power'!$K198))</f>
        <v>7639281.9735800382</v>
      </c>
      <c r="AZ199" s="366">
        <f>(('Methane Leakage'!$G$6/'Methane Leakage'!$G$5)*102*'Emissions Factors'!$F$10*'Calcs - Power'!$B198+'Emissions Factors'!$F$11*('Calcs - Power'!$C198+'Calcs - Power'!$D198+'Calcs - Power'!$E198+'Calcs - Power'!$F198))</f>
        <v>862729169.45674801</v>
      </c>
      <c r="BA199" s="359">
        <f>(102*'Emissions Factors'!$G$10*'Calcs - Power'!$G198+'Emissions Factors'!$G$11*('Calcs - Power'!H198+'Calcs - Power'!I198+'Calcs - Power'!J198+'Calcs - Power'!K198))</f>
        <v>7787691.2013168521</v>
      </c>
      <c r="BB199" s="366">
        <f>(102*'Emissions Factors'!$G$10*'Calcs - Power'!$B198+'Emissions Factors'!$G$11*('Calcs - Power'!C198+'Calcs - Power'!D198+'Calcs - Power'!E198+'Calcs - Power'!F198))</f>
        <v>836017964.62831831</v>
      </c>
      <c r="BC199" s="359">
        <f>(102*'Emissions Factors'!$F$10*'Calcs - Power'!$G198+'Emissions Factors'!$F$11*('Calcs - Power'!$H198+'Calcs - Power'!$I198+'Calcs - Power'!$J198+'Calcs - Power'!$K198))</f>
        <v>7639281.9735800382</v>
      </c>
      <c r="BD199" s="366">
        <f>(102*'Emissions Factors'!$F$10*'Calcs - Power'!$B198+'Emissions Factors'!$F$11*('Calcs - Power'!$C198+'Calcs - Power'!$D198+'Calcs - Power'!$E198+'Calcs - Power'!$F198))</f>
        <v>862729169.45674801</v>
      </c>
      <c r="BE199" s="359">
        <f>(102*'Emissions Factors'!$G$10*'Calcs - Power'!$G198+'Emissions Factors'!$G$11*('Calcs - Power'!H198+'Calcs - Power'!I198+'Calcs - Power'!J198+'Calcs - Power'!K198))</f>
        <v>7787691.2013168521</v>
      </c>
      <c r="BF199" s="366">
        <f>(102*'Emissions Factors'!$G$10*'Calcs - Power'!$B198+'Emissions Factors'!$G$11*('Calcs - Power'!C198+'Calcs - Power'!D198+'Calcs - Power'!E198+'Calcs - Power'!F198))</f>
        <v>836017964.62831831</v>
      </c>
    </row>
    <row r="200" spans="1:58" x14ac:dyDescent="0.3">
      <c r="A200" s="351">
        <f t="shared" si="30"/>
        <v>188</v>
      </c>
      <c r="B200" s="352">
        <f t="shared" si="34"/>
        <v>0.99999999999999989</v>
      </c>
      <c r="C200" s="363">
        <f t="shared" si="35"/>
        <v>0.99999999999999978</v>
      </c>
      <c r="D200" s="352">
        <f t="shared" si="36"/>
        <v>1</v>
      </c>
      <c r="E200" s="364">
        <f t="shared" si="37"/>
        <v>1</v>
      </c>
      <c r="F200" s="364">
        <f t="shared" si="38"/>
        <v>1</v>
      </c>
      <c r="G200" s="365">
        <f t="shared" si="39"/>
        <v>1</v>
      </c>
      <c r="P200" s="358">
        <f t="shared" si="31"/>
        <v>188</v>
      </c>
      <c r="Q200" s="359">
        <f>(('Methane Leakage'!$C$6/'Methane Leakage'!$C$5)*102*'Emissions Factors'!$C$38*'Calcs - Power'!$G199+'Emissions Factors'!$C$37*('Calcs - Power'!$H199+'Calcs - Power'!$I199+'Calcs - Power'!$J199+'Calcs - Power'!$K199))</f>
        <v>40651.902679617975</v>
      </c>
      <c r="R200" s="366">
        <f>(('Methane Leakage'!$C$6/'Methane Leakage'!$C$5)*102*'Emissions Factors'!$C$38*'Calcs - Power'!$B199+'Emissions Factors'!$C$37*('Calcs - Power'!$C199+'Calcs - Power'!$D199+'Calcs - Power'!$E199+'Calcs - Power'!$F199))</f>
        <v>4620872.7646747269</v>
      </c>
      <c r="S200" s="359">
        <f>(('Methane Leakage'!$C$6/'Methane Leakage'!$C$5)*102*'Emissions Factors'!$D$38*'Calcs - Power'!$G199+'Emissions Factors'!$D$37*('Calcs - Power'!$H199+'Calcs - Power'!$I199+'Calcs - Power'!$J199+'Calcs - Power'!$K199))</f>
        <v>40651.902679617975</v>
      </c>
      <c r="T200" s="366">
        <f>(('Methane Leakage'!$C$6/'Methane Leakage'!$C$5)*102*'Emissions Factors'!$D$38*'Calcs - Power'!$B199+'Emissions Factors'!$D$37*('Calcs - Power'!$C199+'Calcs - Power'!$D199+'Calcs - Power'!$E199+'Calcs - Power'!$F199))</f>
        <v>4620872.7646747269</v>
      </c>
      <c r="U200" s="361">
        <f>(102*'Emissions Factors'!$C$36*'Calcs - Power'!$G199+'Emissions Factors'!$C$35*('Calcs - Power'!$H199+'Calcs - Power'!$I199+'Calcs - Power'!$J199+'Calcs - Power'!$K199))</f>
        <v>76085.831154990694</v>
      </c>
      <c r="V200" s="366">
        <f>(102*'Emissions Factors'!$C$36*'Calcs - Power'!$B199+'Emissions Factors'!$C$35*('Calcs - Power'!$C199+'Calcs - Power'!$D199+'Calcs - Power'!$E199+'Calcs - Power'!$F199))</f>
        <v>8195610.3004981307</v>
      </c>
      <c r="W200" s="359">
        <f>(102*'Emissions Factors'!$D$36*'Calcs - Power'!$G199+'Emissions Factors'!$D$35*('Calcs - Power'!$H199+'Calcs - Power'!$I199+'Calcs - Power'!$J199+'Calcs - Power'!$K199))</f>
        <v>76085.831154990694</v>
      </c>
      <c r="X200" s="366">
        <f>(102*'Emissions Factors'!$D$36*'Calcs - Power'!$B199+'Emissions Factors'!$D$35*('Calcs - Power'!$C199+'Calcs - Power'!$D199+'Calcs - Power'!$E199+'Calcs - Power'!$F199))</f>
        <v>8195610.3004981307</v>
      </c>
      <c r="Y200" s="359">
        <f>(102*'Emissions Factors'!$C$38*'Calcs - Power'!$G199+'Emissions Factors'!$C$37*('Calcs - Power'!$H199+'Calcs - Power'!$I199+'Calcs - Power'!$J199+'Calcs - Power'!$K199))</f>
        <v>40651.902679617975</v>
      </c>
      <c r="Z200" s="366">
        <f>(102*'Emissions Factors'!$C$38*'Calcs - Power'!$B199+'Emissions Factors'!$C$37*('Calcs - Power'!$C199+'Calcs - Power'!$D199+'Calcs - Power'!$E199+'Calcs - Power'!$F199))</f>
        <v>4620872.7646747269</v>
      </c>
      <c r="AA200" s="359">
        <f>(102*'Emissions Factors'!$C$36*'Calcs - Power'!$G199+'Emissions Factors'!$C$35*('Calcs - Power'!$H199+'Calcs - Power'!$I199+'Calcs - Power'!$J199+'Calcs - Power'!$K199))</f>
        <v>76085.831154990694</v>
      </c>
      <c r="AB200" s="366">
        <f>(102*'Emissions Factors'!$C$36*'Calcs - Power'!$B199+'Emissions Factors'!$C$35*('Calcs - Power'!$C199+'Calcs - Power'!$D199+'Calcs - Power'!$E199+'Calcs - Power'!$F199))</f>
        <v>8195610.3004981307</v>
      </c>
      <c r="AI200" s="358">
        <f t="shared" si="32"/>
        <v>188</v>
      </c>
      <c r="AJ200" s="359">
        <f>(('Methane Leakage'!$G$6/'Methane Leakage'!$G$5)*102*'Emissions Factors'!$D$10*'Calcs - Power'!$G199+'Emissions Factors'!$D$11*('Calcs - Power'!$H199+'Calcs - Power'!$I199+'Calcs - Power'!$J199+'Calcs - Power'!$K199))</f>
        <v>5531.4296710270464</v>
      </c>
      <c r="AK200" s="366">
        <f>(('Methane Leakage'!$G$6/'Methane Leakage'!$G$5)*102*'Emissions Factors'!$D$10*'Calcs - Power'!$B199+'Emissions Factors'!$D$11*('Calcs - Power'!$C199+'Calcs - Power'!$D199+'Calcs - Power'!$E199+'Calcs - Power'!$F199))</f>
        <v>641215.02273239859</v>
      </c>
      <c r="AL200" s="359">
        <f>(102*'Emissions Factors'!$E$10*'Calcs - Power'!$G199+'Emissions Factors'!$E$11*('Calcs - Power'!H199+'Calcs - Power'!I199+'Calcs - Power'!J199+'Calcs - Power'!K199))</f>
        <v>6762.990125137042</v>
      </c>
      <c r="AM200" s="366">
        <f>(102*'Emissions Factors'!$E$10*'Calcs - Power'!$B199+'Emissions Factors'!$E$11*('Calcs - Power'!C199+'Calcs - Power'!D199+'Calcs - Power'!E199+'Calcs - Power'!F199))</f>
        <v>731552.83196981635</v>
      </c>
      <c r="AN200" s="359">
        <f>(102*'Emissions Factors'!$D$10*'Calcs - Power'!$G199+'Emissions Factors'!$D$11*('Calcs - Power'!$H199+'Calcs - Power'!$I199+'Calcs - Power'!$J199+'Calcs - Power'!$K199))</f>
        <v>5531.4296710270464</v>
      </c>
      <c r="AO200" s="366">
        <f>(102*'Emissions Factors'!$D$10*'Calcs - Power'!$B199+'Emissions Factors'!$D$11*('Calcs - Power'!$C199+'Calcs - Power'!$D199+'Calcs - Power'!$E199+'Calcs - Power'!$F199))</f>
        <v>641215.02273239859</v>
      </c>
      <c r="AP200" s="367">
        <f>(102*'Emissions Factors'!$E$10*'Calcs - Power'!$G199+'Emissions Factors'!$E$11*('Calcs - Power'!H199+'Calcs - Power'!I199+'Calcs - Power'!J199+'Calcs - Power'!K199))</f>
        <v>6762.990125137042</v>
      </c>
      <c r="AQ200" s="366">
        <f>(102*'Emissions Factors'!$E$10*'Calcs - Power'!$B199+'Emissions Factors'!$E$11*('Calcs - Power'!C199+'Calcs - Power'!D199+'Calcs - Power'!E199+'Calcs - Power'!F199))</f>
        <v>731552.83196981635</v>
      </c>
      <c r="AS200" s="357"/>
      <c r="AT200" s="357"/>
      <c r="AU200" s="357"/>
      <c r="AV200" s="357"/>
      <c r="AX200" s="358">
        <f t="shared" si="33"/>
        <v>188</v>
      </c>
      <c r="AY200" s="359">
        <f>(('Methane Leakage'!$G$6/'Methane Leakage'!$G$5)*102*'Emissions Factors'!$F$10*'Calcs - Power'!$G199+'Emissions Factors'!$F$11*('Calcs - Power'!$H199+'Calcs - Power'!$I199+'Calcs - Power'!$J199+'Calcs - Power'!$K199))</f>
        <v>7666694.0958706345</v>
      </c>
      <c r="AZ200" s="366">
        <f>(('Methane Leakage'!$G$6/'Methane Leakage'!$G$5)*102*'Emissions Factors'!$F$10*'Calcs - Power'!$B199+'Emissions Factors'!$F$11*('Calcs - Power'!$C199+'Calcs - Power'!$D199+'Calcs - Power'!$E199+'Calcs - Power'!$F199))</f>
        <v>870382161.29539311</v>
      </c>
      <c r="BA200" s="359">
        <f>(102*'Emissions Factors'!$G$10*'Calcs - Power'!$G199+'Emissions Factors'!$G$11*('Calcs - Power'!H199+'Calcs - Power'!I199+'Calcs - Power'!J199+'Calcs - Power'!K199))</f>
        <v>7818149.1054134797</v>
      </c>
      <c r="BB200" s="366">
        <f>(102*'Emissions Factors'!$G$10*'Calcs - Power'!$B199+'Emissions Factors'!$G$11*('Calcs - Power'!C199+'Calcs - Power'!D199+'Calcs - Power'!E199+'Calcs - Power'!F199))</f>
        <v>843820889.00819457</v>
      </c>
      <c r="BC200" s="359">
        <f>(102*'Emissions Factors'!$F$10*'Calcs - Power'!$G199+'Emissions Factors'!$F$11*('Calcs - Power'!$H199+'Calcs - Power'!$I199+'Calcs - Power'!$J199+'Calcs - Power'!$K199))</f>
        <v>7666694.0958706345</v>
      </c>
      <c r="BD200" s="366">
        <f>(102*'Emissions Factors'!$F$10*'Calcs - Power'!$B199+'Emissions Factors'!$F$11*('Calcs - Power'!$C199+'Calcs - Power'!$D199+'Calcs - Power'!$E199+'Calcs - Power'!$F199))</f>
        <v>870382161.29539311</v>
      </c>
      <c r="BE200" s="359">
        <f>(102*'Emissions Factors'!$G$10*'Calcs - Power'!$G199+'Emissions Factors'!$G$11*('Calcs - Power'!H199+'Calcs - Power'!I199+'Calcs - Power'!J199+'Calcs - Power'!K199))</f>
        <v>7818149.1054134797</v>
      </c>
      <c r="BF200" s="366">
        <f>(102*'Emissions Factors'!$G$10*'Calcs - Power'!$B199+'Emissions Factors'!$G$11*('Calcs - Power'!C199+'Calcs - Power'!D199+'Calcs - Power'!E199+'Calcs - Power'!F199))</f>
        <v>843820889.00819457</v>
      </c>
    </row>
    <row r="201" spans="1:58" x14ac:dyDescent="0.3">
      <c r="A201" s="351">
        <f t="shared" si="30"/>
        <v>189</v>
      </c>
      <c r="B201" s="352">
        <f t="shared" si="34"/>
        <v>1</v>
      </c>
      <c r="C201" s="363">
        <f t="shared" si="35"/>
        <v>0.99999999999999978</v>
      </c>
      <c r="D201" s="352">
        <f t="shared" si="36"/>
        <v>1</v>
      </c>
      <c r="E201" s="364">
        <f t="shared" si="37"/>
        <v>1</v>
      </c>
      <c r="F201" s="364">
        <f t="shared" si="38"/>
        <v>1</v>
      </c>
      <c r="G201" s="365">
        <f t="shared" si="39"/>
        <v>1</v>
      </c>
      <c r="P201" s="358">
        <f t="shared" si="31"/>
        <v>189</v>
      </c>
      <c r="Q201" s="359">
        <f>(('Methane Leakage'!$C$6/'Methane Leakage'!$C$5)*102*'Emissions Factors'!$C$38*'Calcs - Power'!$G200+'Emissions Factors'!$C$37*('Calcs - Power'!$H200+'Calcs - Power'!$I200+'Calcs - Power'!$J200+'Calcs - Power'!$K200))</f>
        <v>40796.682603260902</v>
      </c>
      <c r="R201" s="366">
        <f>(('Methane Leakage'!$C$6/'Methane Leakage'!$C$5)*102*'Emissions Factors'!$C$38*'Calcs - Power'!$B200+'Emissions Factors'!$C$37*('Calcs - Power'!$C200+'Calcs - Power'!$D200+'Calcs - Power'!$E200+'Calcs - Power'!$F200))</f>
        <v>4661597.0773229413</v>
      </c>
      <c r="S201" s="359">
        <f>(('Methane Leakage'!$C$6/'Methane Leakage'!$C$5)*102*'Emissions Factors'!$D$38*'Calcs - Power'!$G200+'Emissions Factors'!$D$37*('Calcs - Power'!$H200+'Calcs - Power'!$I200+'Calcs - Power'!$J200+'Calcs - Power'!$K200))</f>
        <v>40796.682603260902</v>
      </c>
      <c r="T201" s="366">
        <f>(('Methane Leakage'!$C$6/'Methane Leakage'!$C$5)*102*'Emissions Factors'!$D$38*'Calcs - Power'!$B200+'Emissions Factors'!$D$37*('Calcs - Power'!$C200+'Calcs - Power'!$D200+'Calcs - Power'!$E200+'Calcs - Power'!$F200))</f>
        <v>4661597.0773229413</v>
      </c>
      <c r="U201" s="361">
        <f>(102*'Emissions Factors'!$C$36*'Calcs - Power'!$G200+'Emissions Factors'!$C$35*('Calcs - Power'!$H200+'Calcs - Power'!$I200+'Calcs - Power'!$J200+'Calcs - Power'!$K200))</f>
        <v>76382.691527656556</v>
      </c>
      <c r="V201" s="366">
        <f>(102*'Emissions Factors'!$C$36*'Calcs - Power'!$B200+'Emissions Factors'!$C$35*('Calcs - Power'!$C200+'Calcs - Power'!$D200+'Calcs - Power'!$E200+'Calcs - Power'!$F200))</f>
        <v>8271844.6028612237</v>
      </c>
      <c r="W201" s="359">
        <f>(102*'Emissions Factors'!$D$36*'Calcs - Power'!$G200+'Emissions Factors'!$D$35*('Calcs - Power'!$H200+'Calcs - Power'!$I200+'Calcs - Power'!$J200+'Calcs - Power'!$K200))</f>
        <v>76382.691527656556</v>
      </c>
      <c r="X201" s="366">
        <f>(102*'Emissions Factors'!$D$36*'Calcs - Power'!$B200+'Emissions Factors'!$D$35*('Calcs - Power'!$C200+'Calcs - Power'!$D200+'Calcs - Power'!$E200+'Calcs - Power'!$F200))</f>
        <v>8271844.6028612237</v>
      </c>
      <c r="Y201" s="359">
        <f>(102*'Emissions Factors'!$C$38*'Calcs - Power'!$G200+'Emissions Factors'!$C$37*('Calcs - Power'!$H200+'Calcs - Power'!$I200+'Calcs - Power'!$J200+'Calcs - Power'!$K200))</f>
        <v>40796.682603260902</v>
      </c>
      <c r="Z201" s="366">
        <f>(102*'Emissions Factors'!$C$38*'Calcs - Power'!$B200+'Emissions Factors'!$C$37*('Calcs - Power'!$C200+'Calcs - Power'!$D200+'Calcs - Power'!$E200+'Calcs - Power'!$F200))</f>
        <v>4661597.0773229413</v>
      </c>
      <c r="AA201" s="359">
        <f>(102*'Emissions Factors'!$C$36*'Calcs - Power'!$G200+'Emissions Factors'!$C$35*('Calcs - Power'!$H200+'Calcs - Power'!$I200+'Calcs - Power'!$J200+'Calcs - Power'!$K200))</f>
        <v>76382.691527656556</v>
      </c>
      <c r="AB201" s="366">
        <f>(102*'Emissions Factors'!$C$36*'Calcs - Power'!$B200+'Emissions Factors'!$C$35*('Calcs - Power'!$C200+'Calcs - Power'!$D200+'Calcs - Power'!$E200+'Calcs - Power'!$F200))</f>
        <v>8271844.6028612237</v>
      </c>
      <c r="AI201" s="358">
        <f t="shared" si="32"/>
        <v>189</v>
      </c>
      <c r="AJ201" s="359">
        <f>(('Methane Leakage'!$G$6/'Methane Leakage'!$G$5)*102*'Emissions Factors'!$D$10*'Calcs - Power'!$G200+'Emissions Factors'!$D$11*('Calcs - Power'!$H200+'Calcs - Power'!$I200+'Calcs - Power'!$J200+'Calcs - Power'!$K200))</f>
        <v>5550.4175942317315</v>
      </c>
      <c r="AK201" s="366">
        <f>(('Methane Leakage'!$G$6/'Methane Leakage'!$G$5)*102*'Emissions Factors'!$D$10*'Calcs - Power'!$B200+'Emissions Factors'!$D$11*('Calcs - Power'!$C200+'Calcs - Power'!$D200+'Calcs - Power'!$E200+'Calcs - Power'!$F200))</f>
        <v>646755.94898893847</v>
      </c>
      <c r="AL201" s="359">
        <f>(102*'Emissions Factors'!$E$10*'Calcs - Power'!$G200+'Emissions Factors'!$E$11*('Calcs - Power'!H200+'Calcs - Power'!I200+'Calcs - Power'!J200+'Calcs - Power'!K200))</f>
        <v>6789.2012473830055</v>
      </c>
      <c r="AM201" s="366">
        <f>(102*'Emissions Factors'!$E$10*'Calcs - Power'!$B200+'Emissions Factors'!$E$11*('Calcs - Power'!C200+'Calcs - Power'!D200+'Calcs - Power'!E200+'Calcs - Power'!F200))</f>
        <v>738328.93127807451</v>
      </c>
      <c r="AN201" s="359">
        <f>(102*'Emissions Factors'!$D$10*'Calcs - Power'!$G200+'Emissions Factors'!$D$11*('Calcs - Power'!$H200+'Calcs - Power'!$I200+'Calcs - Power'!$J200+'Calcs - Power'!$K200))</f>
        <v>5550.4175942317315</v>
      </c>
      <c r="AO201" s="366">
        <f>(102*'Emissions Factors'!$D$10*'Calcs - Power'!$B200+'Emissions Factors'!$D$11*('Calcs - Power'!$C200+'Calcs - Power'!$D200+'Calcs - Power'!$E200+'Calcs - Power'!$F200))</f>
        <v>646755.94898893847</v>
      </c>
      <c r="AP201" s="367">
        <f>(102*'Emissions Factors'!$E$10*'Calcs - Power'!$G200+'Emissions Factors'!$E$11*('Calcs - Power'!H200+'Calcs - Power'!I200+'Calcs - Power'!J200+'Calcs - Power'!K200))</f>
        <v>6789.2012473830055</v>
      </c>
      <c r="AQ201" s="366">
        <f>(102*'Emissions Factors'!$E$10*'Calcs - Power'!$B200+'Emissions Factors'!$E$11*('Calcs - Power'!C200+'Calcs - Power'!D200+'Calcs - Power'!E200+'Calcs - Power'!F200))</f>
        <v>738328.93127807451</v>
      </c>
      <c r="AS201" s="357"/>
      <c r="AT201" s="357"/>
      <c r="AU201" s="357"/>
      <c r="AV201" s="357"/>
      <c r="AX201" s="358">
        <f t="shared" si="33"/>
        <v>189</v>
      </c>
      <c r="AY201" s="359">
        <f>(('Methane Leakage'!$G$6/'Methane Leakage'!$G$5)*102*'Emissions Factors'!$F$10*'Calcs - Power'!$G200+'Emissions Factors'!$F$11*('Calcs - Power'!$H200+'Calcs - Power'!$I200+'Calcs - Power'!$J200+'Calcs - Power'!$K200))</f>
        <v>7694060.7044278886</v>
      </c>
      <c r="AZ201" s="366">
        <f>(('Methane Leakage'!$G$6/'Methane Leakage'!$G$5)*102*'Emissions Factors'!$F$10*'Calcs - Power'!$B200+'Emissions Factors'!$F$11*('Calcs - Power'!$C200+'Calcs - Power'!$D200+'Calcs - Power'!$E200+'Calcs - Power'!$F200))</f>
        <v>878062542.47726381</v>
      </c>
      <c r="BA201" s="359">
        <f>(102*'Emissions Factors'!$G$10*'Calcs - Power'!$G200+'Emissions Factors'!$G$11*('Calcs - Power'!H200+'Calcs - Power'!I200+'Calcs - Power'!J200+'Calcs - Power'!K200))</f>
        <v>7848556.4394596256</v>
      </c>
      <c r="BB201" s="366">
        <f>(102*'Emissions Factors'!$G$10*'Calcs - Power'!$B200+'Emissions Factors'!$G$11*('Calcs - Power'!C200+'Calcs - Power'!D200+'Calcs - Power'!E200+'Calcs - Power'!F200))</f>
        <v>851654245.98248279</v>
      </c>
      <c r="BC201" s="359">
        <f>(102*'Emissions Factors'!$F$10*'Calcs - Power'!$G200+'Emissions Factors'!$F$11*('Calcs - Power'!$H200+'Calcs - Power'!$I200+'Calcs - Power'!$J200+'Calcs - Power'!$K200))</f>
        <v>7694060.7044278886</v>
      </c>
      <c r="BD201" s="366">
        <f>(102*'Emissions Factors'!$F$10*'Calcs - Power'!$B200+'Emissions Factors'!$F$11*('Calcs - Power'!$C200+'Calcs - Power'!$D200+'Calcs - Power'!$E200+'Calcs - Power'!$F200))</f>
        <v>878062542.47726381</v>
      </c>
      <c r="BE201" s="359">
        <f>(102*'Emissions Factors'!$G$10*'Calcs - Power'!$G200+'Emissions Factors'!$G$11*('Calcs - Power'!H200+'Calcs - Power'!I200+'Calcs - Power'!J200+'Calcs - Power'!K200))</f>
        <v>7848556.4394596256</v>
      </c>
      <c r="BF201" s="366">
        <f>(102*'Emissions Factors'!$G$10*'Calcs - Power'!$B200+'Emissions Factors'!$G$11*('Calcs - Power'!C200+'Calcs - Power'!D200+'Calcs - Power'!E200+'Calcs - Power'!F200))</f>
        <v>851654245.98248279</v>
      </c>
    </row>
    <row r="202" spans="1:58" x14ac:dyDescent="0.3">
      <c r="A202" s="351">
        <f t="shared" si="30"/>
        <v>190</v>
      </c>
      <c r="B202" s="352">
        <f t="shared" si="34"/>
        <v>0.99999999999999989</v>
      </c>
      <c r="C202" s="363">
        <f t="shared" si="35"/>
        <v>1</v>
      </c>
      <c r="D202" s="352">
        <f t="shared" si="36"/>
        <v>1</v>
      </c>
      <c r="E202" s="364">
        <f t="shared" si="37"/>
        <v>1</v>
      </c>
      <c r="F202" s="364">
        <f t="shared" si="38"/>
        <v>1</v>
      </c>
      <c r="G202" s="365">
        <f t="shared" si="39"/>
        <v>1</v>
      </c>
      <c r="P202" s="358">
        <f t="shared" si="31"/>
        <v>190</v>
      </c>
      <c r="Q202" s="359">
        <f>(('Methane Leakage'!$C$6/'Methane Leakage'!$C$5)*102*'Emissions Factors'!$C$38*'Calcs - Power'!$G201+'Emissions Factors'!$C$37*('Calcs - Power'!$H201+'Calcs - Power'!$I201+'Calcs - Power'!$J201+'Calcs - Power'!$K201))</f>
        <v>40941.223146325239</v>
      </c>
      <c r="R202" s="366">
        <f>(('Methane Leakage'!$C$6/'Methane Leakage'!$C$5)*102*'Emissions Factors'!$C$38*'Calcs - Power'!$B201+'Emissions Factors'!$C$37*('Calcs - Power'!$C201+'Calcs - Power'!$D201+'Calcs - Power'!$E201+'Calcs - Power'!$F201))</f>
        <v>4702466.0500878226</v>
      </c>
      <c r="S202" s="359">
        <f>(('Methane Leakage'!$C$6/'Methane Leakage'!$C$5)*102*'Emissions Factors'!$D$38*'Calcs - Power'!$G201+'Emissions Factors'!$D$37*('Calcs - Power'!$H201+'Calcs - Power'!$I201+'Calcs - Power'!$J201+'Calcs - Power'!$K201))</f>
        <v>40941.223146325239</v>
      </c>
      <c r="T202" s="366">
        <f>(('Methane Leakage'!$C$6/'Methane Leakage'!$C$5)*102*'Emissions Factors'!$D$38*'Calcs - Power'!$B201+'Emissions Factors'!$D$37*('Calcs - Power'!$C201+'Calcs - Power'!$D201+'Calcs - Power'!$E201+'Calcs - Power'!$F201))</f>
        <v>4702466.0500878226</v>
      </c>
      <c r="U202" s="361">
        <f>(102*'Emissions Factors'!$C$36*'Calcs - Power'!$G201+'Emissions Factors'!$C$35*('Calcs - Power'!$H201+'Calcs - Power'!$I201+'Calcs - Power'!$J201+'Calcs - Power'!$K201))</f>
        <v>76679.061075549631</v>
      </c>
      <c r="V202" s="366">
        <f>(102*'Emissions Factors'!$C$36*'Calcs - Power'!$B201+'Emissions Factors'!$C$35*('Calcs - Power'!$C201+'Calcs - Power'!$D201+'Calcs - Power'!$E201+'Calcs - Power'!$F201))</f>
        <v>8348375.5199453905</v>
      </c>
      <c r="W202" s="359">
        <f>(102*'Emissions Factors'!$D$36*'Calcs - Power'!$G201+'Emissions Factors'!$D$35*('Calcs - Power'!$H201+'Calcs - Power'!$I201+'Calcs - Power'!$J201+'Calcs - Power'!$K201))</f>
        <v>76679.061075549631</v>
      </c>
      <c r="X202" s="366">
        <f>(102*'Emissions Factors'!$D$36*'Calcs - Power'!$B201+'Emissions Factors'!$D$35*('Calcs - Power'!$C201+'Calcs - Power'!$D201+'Calcs - Power'!$E201+'Calcs - Power'!$F201))</f>
        <v>8348375.5199453905</v>
      </c>
      <c r="Y202" s="359">
        <f>(102*'Emissions Factors'!$C$38*'Calcs - Power'!$G201+'Emissions Factors'!$C$37*('Calcs - Power'!$H201+'Calcs - Power'!$I201+'Calcs - Power'!$J201+'Calcs - Power'!$K201))</f>
        <v>40941.223146325239</v>
      </c>
      <c r="Z202" s="366">
        <f>(102*'Emissions Factors'!$C$38*'Calcs - Power'!$B201+'Emissions Factors'!$C$37*('Calcs - Power'!$C201+'Calcs - Power'!$D201+'Calcs - Power'!$E201+'Calcs - Power'!$F201))</f>
        <v>4702466.0500878226</v>
      </c>
      <c r="AA202" s="359">
        <f>(102*'Emissions Factors'!$C$36*'Calcs - Power'!$G201+'Emissions Factors'!$C$35*('Calcs - Power'!$H201+'Calcs - Power'!$I201+'Calcs - Power'!$J201+'Calcs - Power'!$K201))</f>
        <v>76679.061075549631</v>
      </c>
      <c r="AB202" s="366">
        <f>(102*'Emissions Factors'!$C$36*'Calcs - Power'!$B201+'Emissions Factors'!$C$35*('Calcs - Power'!$C201+'Calcs - Power'!$D201+'Calcs - Power'!$E201+'Calcs - Power'!$F201))</f>
        <v>8348375.5199453905</v>
      </c>
      <c r="AI202" s="358">
        <f t="shared" si="32"/>
        <v>190</v>
      </c>
      <c r="AJ202" s="359">
        <f>(('Methane Leakage'!$G$6/'Methane Leakage'!$G$5)*102*'Emissions Factors'!$D$10*'Calcs - Power'!$G201+'Emissions Factors'!$D$11*('Calcs - Power'!$H201+'Calcs - Power'!$I201+'Calcs - Power'!$J201+'Calcs - Power'!$K201))</f>
        <v>5569.374122417069</v>
      </c>
      <c r="AK202" s="366">
        <f>(('Methane Leakage'!$G$6/'Methane Leakage'!$G$5)*102*'Emissions Factors'!$D$10*'Calcs - Power'!$B201+'Emissions Factors'!$D$11*('Calcs - Power'!$C201+'Calcs - Power'!$D201+'Calcs - Power'!$E201+'Calcs - Power'!$F201))</f>
        <v>652315.84745586873</v>
      </c>
      <c r="AL202" s="359">
        <f>(102*'Emissions Factors'!$E$10*'Calcs - Power'!$G201+'Emissions Factors'!$E$11*('Calcs - Power'!H201+'Calcs - Power'!I201+'Calcs - Power'!J201+'Calcs - Power'!K201))</f>
        <v>6815.3690324831214</v>
      </c>
      <c r="AM202" s="366">
        <f>(102*'Emissions Factors'!$E$10*'Calcs - Power'!$B201+'Emissions Factors'!$E$11*('Calcs - Power'!C201+'Calcs - Power'!D201+'Calcs - Power'!E201+'Calcs - Power'!F201))</f>
        <v>745131.2200188851</v>
      </c>
      <c r="AN202" s="359">
        <f>(102*'Emissions Factors'!$D$10*'Calcs - Power'!$G201+'Emissions Factors'!$D$11*('Calcs - Power'!$H201+'Calcs - Power'!$I201+'Calcs - Power'!$J201+'Calcs - Power'!$K201))</f>
        <v>5569.374122417069</v>
      </c>
      <c r="AO202" s="366">
        <f>(102*'Emissions Factors'!$D$10*'Calcs - Power'!$B201+'Emissions Factors'!$D$11*('Calcs - Power'!$C201+'Calcs - Power'!$D201+'Calcs - Power'!$E201+'Calcs - Power'!$F201))</f>
        <v>652315.84745586873</v>
      </c>
      <c r="AP202" s="367">
        <f>(102*'Emissions Factors'!$E$10*'Calcs - Power'!$G201+'Emissions Factors'!$E$11*('Calcs - Power'!H201+'Calcs - Power'!I201+'Calcs - Power'!J201+'Calcs - Power'!K201))</f>
        <v>6815.3690324831214</v>
      </c>
      <c r="AQ202" s="366">
        <f>(102*'Emissions Factors'!$E$10*'Calcs - Power'!$B201+'Emissions Factors'!$E$11*('Calcs - Power'!C201+'Calcs - Power'!D201+'Calcs - Power'!E201+'Calcs - Power'!F201))</f>
        <v>745131.2200188851</v>
      </c>
      <c r="AS202" s="357"/>
      <c r="AT202" s="357"/>
      <c r="AU202" s="357"/>
      <c r="AV202" s="357"/>
      <c r="AX202" s="358">
        <f t="shared" si="33"/>
        <v>190</v>
      </c>
      <c r="AY202" s="359">
        <f>(('Methane Leakage'!$G$6/'Methane Leakage'!$G$5)*102*'Emissions Factors'!$F$10*'Calcs - Power'!$G201+'Emissions Factors'!$F$11*('Calcs - Power'!$H201+'Calcs - Power'!$I201+'Calcs - Power'!$J201+'Calcs - Power'!$K201))</f>
        <v>7721382.0647770567</v>
      </c>
      <c r="AZ202" s="366">
        <f>(('Methane Leakage'!$G$6/'Methane Leakage'!$G$5)*102*'Emissions Factors'!$F$10*'Calcs - Power'!$B201+'Emissions Factors'!$F$11*('Calcs - Power'!$C201+'Calcs - Power'!$D201+'Calcs - Power'!$E201+'Calcs - Power'!$F201))</f>
        <v>885770267.62153172</v>
      </c>
      <c r="BA202" s="359">
        <f>(102*'Emissions Factors'!$G$10*'Calcs - Power'!$G201+'Emissions Factors'!$G$11*('Calcs - Power'!H201+'Calcs - Power'!I201+'Calcs - Power'!J201+'Calcs - Power'!K201))</f>
        <v>7878913.4984222399</v>
      </c>
      <c r="BB202" s="366">
        <f>(102*'Emissions Factors'!$G$10*'Calcs - Power'!$B201+'Emissions Factors'!$G$11*('Calcs - Power'!C201+'Calcs - Power'!D201+'Calcs - Power'!E201+'Calcs - Power'!F201))</f>
        <v>859517985.12877357</v>
      </c>
      <c r="BC202" s="359">
        <f>(102*'Emissions Factors'!$F$10*'Calcs - Power'!$G201+'Emissions Factors'!$F$11*('Calcs - Power'!$H201+'Calcs - Power'!$I201+'Calcs - Power'!$J201+'Calcs - Power'!$K201))</f>
        <v>7721382.0647770567</v>
      </c>
      <c r="BD202" s="366">
        <f>(102*'Emissions Factors'!$F$10*'Calcs - Power'!$B201+'Emissions Factors'!$F$11*('Calcs - Power'!$C201+'Calcs - Power'!$D201+'Calcs - Power'!$E201+'Calcs - Power'!$F201))</f>
        <v>885770267.62153172</v>
      </c>
      <c r="BE202" s="359">
        <f>(102*'Emissions Factors'!$G$10*'Calcs - Power'!$G201+'Emissions Factors'!$G$11*('Calcs - Power'!H201+'Calcs - Power'!I201+'Calcs - Power'!J201+'Calcs - Power'!K201))</f>
        <v>7878913.4984222399</v>
      </c>
      <c r="BF202" s="366">
        <f>(102*'Emissions Factors'!$G$10*'Calcs - Power'!$B201+'Emissions Factors'!$G$11*('Calcs - Power'!C201+'Calcs - Power'!D201+'Calcs - Power'!E201+'Calcs - Power'!F201))</f>
        <v>859517985.12877357</v>
      </c>
    </row>
    <row r="203" spans="1:58" x14ac:dyDescent="0.3">
      <c r="A203" s="351">
        <f t="shared" si="30"/>
        <v>191</v>
      </c>
      <c r="B203" s="352">
        <f t="shared" si="34"/>
        <v>0.99999999999999989</v>
      </c>
      <c r="C203" s="363">
        <f t="shared" si="35"/>
        <v>1</v>
      </c>
      <c r="D203" s="352">
        <f t="shared" si="36"/>
        <v>1</v>
      </c>
      <c r="E203" s="364">
        <f t="shared" si="37"/>
        <v>1</v>
      </c>
      <c r="F203" s="364">
        <f t="shared" si="38"/>
        <v>1</v>
      </c>
      <c r="G203" s="365">
        <f t="shared" si="39"/>
        <v>1</v>
      </c>
      <c r="P203" s="358">
        <f t="shared" si="31"/>
        <v>191</v>
      </c>
      <c r="Q203" s="359">
        <f>(('Methane Leakage'!$C$6/'Methane Leakage'!$C$5)*102*'Emissions Factors'!$C$38*'Calcs - Power'!$G202+'Emissions Factors'!$C$37*('Calcs - Power'!$H202+'Calcs - Power'!$I202+'Calcs - Power'!$J202+'Calcs - Power'!$K202))</f>
        <v>41085.525704591724</v>
      </c>
      <c r="R203" s="366">
        <f>(('Methane Leakage'!$C$6/'Methane Leakage'!$C$5)*102*'Emissions Factors'!$C$38*'Calcs - Power'!$B202+'Emissions Factors'!$C$37*('Calcs - Power'!$C202+'Calcs - Power'!$D202+'Calcs - Power'!$E202+'Calcs - Power'!$F202))</f>
        <v>4743479.4442874249</v>
      </c>
      <c r="S203" s="359">
        <f>(('Methane Leakage'!$C$6/'Methane Leakage'!$C$5)*102*'Emissions Factors'!$D$38*'Calcs - Power'!$G202+'Emissions Factors'!$D$37*('Calcs - Power'!$H202+'Calcs - Power'!$I202+'Calcs - Power'!$J202+'Calcs - Power'!$K202))</f>
        <v>41085.525704591724</v>
      </c>
      <c r="T203" s="366">
        <f>(('Methane Leakage'!$C$6/'Methane Leakage'!$C$5)*102*'Emissions Factors'!$D$38*'Calcs - Power'!$B202+'Emissions Factors'!$D$37*('Calcs - Power'!$C202+'Calcs - Power'!$D202+'Calcs - Power'!$E202+'Calcs - Power'!$F202))</f>
        <v>4743479.4442874249</v>
      </c>
      <c r="U203" s="361">
        <f>(102*'Emissions Factors'!$C$36*'Calcs - Power'!$G202+'Emissions Factors'!$C$35*('Calcs - Power'!$H202+'Calcs - Power'!$I202+'Calcs - Power'!$J202+'Calcs - Power'!$K202))</f>
        <v>76974.942660031084</v>
      </c>
      <c r="V203" s="366">
        <f>(102*'Emissions Factors'!$C$36*'Calcs - Power'!$B202+'Emissions Factors'!$C$35*('Calcs - Power'!$C202+'Calcs - Power'!$D202+'Calcs - Power'!$E202+'Calcs - Power'!$F202))</f>
        <v>8425202.5623580553</v>
      </c>
      <c r="W203" s="359">
        <f>(102*'Emissions Factors'!$D$36*'Calcs - Power'!$G202+'Emissions Factors'!$D$35*('Calcs - Power'!$H202+'Calcs - Power'!$I202+'Calcs - Power'!$J202+'Calcs - Power'!$K202))</f>
        <v>76974.942660031084</v>
      </c>
      <c r="X203" s="366">
        <f>(102*'Emissions Factors'!$D$36*'Calcs - Power'!$B202+'Emissions Factors'!$D$35*('Calcs - Power'!$C202+'Calcs - Power'!$D202+'Calcs - Power'!$E202+'Calcs - Power'!$F202))</f>
        <v>8425202.5623580553</v>
      </c>
      <c r="Y203" s="359">
        <f>(102*'Emissions Factors'!$C$38*'Calcs - Power'!$G202+'Emissions Factors'!$C$37*('Calcs - Power'!$H202+'Calcs - Power'!$I202+'Calcs - Power'!$J202+'Calcs - Power'!$K202))</f>
        <v>41085.525704591724</v>
      </c>
      <c r="Z203" s="366">
        <f>(102*'Emissions Factors'!$C$38*'Calcs - Power'!$B202+'Emissions Factors'!$C$37*('Calcs - Power'!$C202+'Calcs - Power'!$D202+'Calcs - Power'!$E202+'Calcs - Power'!$F202))</f>
        <v>4743479.4442874249</v>
      </c>
      <c r="AA203" s="359">
        <f>(102*'Emissions Factors'!$C$36*'Calcs - Power'!$G202+'Emissions Factors'!$C$35*('Calcs - Power'!$H202+'Calcs - Power'!$I202+'Calcs - Power'!$J202+'Calcs - Power'!$K202))</f>
        <v>76974.942660031084</v>
      </c>
      <c r="AB203" s="366">
        <f>(102*'Emissions Factors'!$C$36*'Calcs - Power'!$B202+'Emissions Factors'!$C$35*('Calcs - Power'!$C202+'Calcs - Power'!$D202+'Calcs - Power'!$E202+'Calcs - Power'!$F202))</f>
        <v>8425202.5623580553</v>
      </c>
      <c r="AI203" s="358">
        <f t="shared" si="32"/>
        <v>191</v>
      </c>
      <c r="AJ203" s="359">
        <f>(('Methane Leakage'!$G$6/'Methane Leakage'!$G$5)*102*'Emissions Factors'!$D$10*'Calcs - Power'!$G202+'Emissions Factors'!$D$11*('Calcs - Power'!$H202+'Calcs - Power'!$I202+'Calcs - Power'!$J202+'Calcs - Power'!$K202))</f>
        <v>5588.2994386560786</v>
      </c>
      <c r="AK203" s="366">
        <f>(('Methane Leakage'!$G$6/'Methane Leakage'!$G$5)*102*'Emissions Factors'!$D$10*'Calcs - Power'!$B202+'Emissions Factors'!$D$11*('Calcs - Power'!$C202+'Calcs - Power'!$D202+'Calcs - Power'!$E202+'Calcs - Power'!$F202))</f>
        <v>657894.68682980351</v>
      </c>
      <c r="AL203" s="359">
        <f>(102*'Emissions Factors'!$E$10*'Calcs - Power'!$G202+'Emissions Factors'!$E$11*('Calcs - Power'!H202+'Calcs - Power'!I202+'Calcs - Power'!J202+'Calcs - Power'!K202))</f>
        <v>6841.4937330833009</v>
      </c>
      <c r="AM203" s="366">
        <f>(102*'Emissions Factors'!$E$10*'Calcs - Power'!$B202+'Emissions Factors'!$E$11*('Calcs - Power'!C202+'Calcs - Power'!D202+'Calcs - Power'!E202+'Calcs - Power'!F202))</f>
        <v>751959.65498155868</v>
      </c>
      <c r="AN203" s="359">
        <f>(102*'Emissions Factors'!$D$10*'Calcs - Power'!$G202+'Emissions Factors'!$D$11*('Calcs - Power'!$H202+'Calcs - Power'!$I202+'Calcs - Power'!$J202+'Calcs - Power'!$K202))</f>
        <v>5588.2994386560786</v>
      </c>
      <c r="AO203" s="366">
        <f>(102*'Emissions Factors'!$D$10*'Calcs - Power'!$B202+'Emissions Factors'!$D$11*('Calcs - Power'!$C202+'Calcs - Power'!$D202+'Calcs - Power'!$E202+'Calcs - Power'!$F202))</f>
        <v>657894.68682980351</v>
      </c>
      <c r="AP203" s="367">
        <f>(102*'Emissions Factors'!$E$10*'Calcs - Power'!$G202+'Emissions Factors'!$E$11*('Calcs - Power'!H202+'Calcs - Power'!I202+'Calcs - Power'!J202+'Calcs - Power'!K202))</f>
        <v>6841.4937330833009</v>
      </c>
      <c r="AQ203" s="366">
        <f>(102*'Emissions Factors'!$E$10*'Calcs - Power'!$B202+'Emissions Factors'!$E$11*('Calcs - Power'!C202+'Calcs - Power'!D202+'Calcs - Power'!E202+'Calcs - Power'!F202))</f>
        <v>751959.65498155868</v>
      </c>
      <c r="AS203" s="357"/>
      <c r="AT203" s="357"/>
      <c r="AU203" s="357"/>
      <c r="AV203" s="357"/>
      <c r="AX203" s="358">
        <f t="shared" si="33"/>
        <v>191</v>
      </c>
      <c r="AY203" s="359">
        <f>(('Methane Leakage'!$G$6/'Methane Leakage'!$G$5)*102*'Emissions Factors'!$F$10*'Calcs - Power'!$G202+'Emissions Factors'!$F$11*('Calcs - Power'!$H202+'Calcs - Power'!$I202+'Calcs - Power'!$J202+'Calcs - Power'!$K202))</f>
        <v>7748658.4407501873</v>
      </c>
      <c r="AZ203" s="366">
        <f>(('Methane Leakage'!$G$6/'Methane Leakage'!$G$5)*102*'Emissions Factors'!$F$10*'Calcs - Power'!$B202+'Emissions Factors'!$F$11*('Calcs - Power'!$C202+'Calcs - Power'!$D202+'Calcs - Power'!$E202+'Calcs - Power'!$F202))</f>
        <v>893505291.61204469</v>
      </c>
      <c r="BA203" s="359">
        <f>(102*'Emissions Factors'!$G$10*'Calcs - Power'!$G202+'Emissions Factors'!$G$11*('Calcs - Power'!H202+'Calcs - Power'!I202+'Calcs - Power'!J202+'Calcs - Power'!K202))</f>
        <v>7909220.5753918123</v>
      </c>
      <c r="BB203" s="366">
        <f>(102*'Emissions Factors'!$G$10*'Calcs - Power'!$B202+'Emissions Factors'!$G$11*('Calcs - Power'!C202+'Calcs - Power'!D202+'Calcs - Power'!E202+'Calcs - Power'!F202))</f>
        <v>867412056.31868362</v>
      </c>
      <c r="BC203" s="359">
        <f>(102*'Emissions Factors'!$F$10*'Calcs - Power'!$G202+'Emissions Factors'!$F$11*('Calcs - Power'!$H202+'Calcs - Power'!$I202+'Calcs - Power'!$J202+'Calcs - Power'!$K202))</f>
        <v>7748658.4407501873</v>
      </c>
      <c r="BD203" s="366">
        <f>(102*'Emissions Factors'!$F$10*'Calcs - Power'!$B202+'Emissions Factors'!$F$11*('Calcs - Power'!$C202+'Calcs - Power'!$D202+'Calcs - Power'!$E202+'Calcs - Power'!$F202))</f>
        <v>893505291.61204469</v>
      </c>
      <c r="BE203" s="359">
        <f>(102*'Emissions Factors'!$G$10*'Calcs - Power'!$G202+'Emissions Factors'!$G$11*('Calcs - Power'!H202+'Calcs - Power'!I202+'Calcs - Power'!J202+'Calcs - Power'!K202))</f>
        <v>7909220.5753918123</v>
      </c>
      <c r="BF203" s="366">
        <f>(102*'Emissions Factors'!$G$10*'Calcs - Power'!$B202+'Emissions Factors'!$G$11*('Calcs - Power'!C202+'Calcs - Power'!D202+'Calcs - Power'!E202+'Calcs - Power'!F202))</f>
        <v>867412056.31868362</v>
      </c>
    </row>
    <row r="204" spans="1:58" x14ac:dyDescent="0.3">
      <c r="A204" s="351">
        <f t="shared" si="30"/>
        <v>192</v>
      </c>
      <c r="B204" s="352">
        <f t="shared" si="34"/>
        <v>0.99999999999999989</v>
      </c>
      <c r="C204" s="363">
        <f t="shared" si="35"/>
        <v>1</v>
      </c>
      <c r="D204" s="352">
        <f t="shared" si="36"/>
        <v>1</v>
      </c>
      <c r="E204" s="364">
        <f t="shared" si="37"/>
        <v>1</v>
      </c>
      <c r="F204" s="364">
        <f t="shared" si="38"/>
        <v>1</v>
      </c>
      <c r="G204" s="365">
        <f t="shared" si="39"/>
        <v>1</v>
      </c>
      <c r="P204" s="358">
        <f t="shared" si="31"/>
        <v>192</v>
      </c>
      <c r="Q204" s="359">
        <f>(('Methane Leakage'!$C$6/'Methane Leakage'!$C$5)*102*'Emissions Factors'!$C$38*'Calcs - Power'!$G203+'Emissions Factors'!$C$37*('Calcs - Power'!$H203+'Calcs - Power'!$I203+'Calcs - Power'!$J203+'Calcs - Power'!$K203))</f>
        <v>41229.591664980195</v>
      </c>
      <c r="R204" s="366">
        <f>(('Methane Leakage'!$C$6/'Methane Leakage'!$C$5)*102*'Emissions Factors'!$C$38*'Calcs - Power'!$B203+'Emissions Factors'!$C$37*('Calcs - Power'!$C203+'Calcs - Power'!$D203+'Calcs - Power'!$E203+'Calcs - Power'!$F203))</f>
        <v>4784637.0226311442</v>
      </c>
      <c r="S204" s="359">
        <f>(('Methane Leakage'!$C$6/'Methane Leakage'!$C$5)*102*'Emissions Factors'!$D$38*'Calcs - Power'!$G203+'Emissions Factors'!$D$37*('Calcs - Power'!$H203+'Calcs - Power'!$I203+'Calcs - Power'!$J203+'Calcs - Power'!$K203))</f>
        <v>41229.591664980195</v>
      </c>
      <c r="T204" s="366">
        <f>(('Methane Leakage'!$C$6/'Methane Leakage'!$C$5)*102*'Emissions Factors'!$D$38*'Calcs - Power'!$B203+'Emissions Factors'!$D$37*('Calcs - Power'!$C203+'Calcs - Power'!$D203+'Calcs - Power'!$E203+'Calcs - Power'!$F203))</f>
        <v>4784637.0226311442</v>
      </c>
      <c r="U204" s="361">
        <f>(102*'Emissions Factors'!$C$36*'Calcs - Power'!$G203+'Emissions Factors'!$C$35*('Calcs - Power'!$H203+'Calcs - Power'!$I203+'Calcs - Power'!$J203+'Calcs - Power'!$K203))</f>
        <v>77270.33912434004</v>
      </c>
      <c r="V204" s="366">
        <f>(102*'Emissions Factors'!$C$36*'Calcs - Power'!$B203+'Emissions Factors'!$C$35*('Calcs - Power'!$C203+'Calcs - Power'!$D203+'Calcs - Power'!$E203+'Calcs - Power'!$F203))</f>
        <v>8502325.2435589284</v>
      </c>
      <c r="W204" s="359">
        <f>(102*'Emissions Factors'!$D$36*'Calcs - Power'!$G203+'Emissions Factors'!$D$35*('Calcs - Power'!$H203+'Calcs - Power'!$I203+'Calcs - Power'!$J203+'Calcs - Power'!$K203))</f>
        <v>77270.33912434004</v>
      </c>
      <c r="X204" s="366">
        <f>(102*'Emissions Factors'!$D$36*'Calcs - Power'!$B203+'Emissions Factors'!$D$35*('Calcs - Power'!$C203+'Calcs - Power'!$D203+'Calcs - Power'!$E203+'Calcs - Power'!$F203))</f>
        <v>8502325.2435589284</v>
      </c>
      <c r="Y204" s="359">
        <f>(102*'Emissions Factors'!$C$38*'Calcs - Power'!$G203+'Emissions Factors'!$C$37*('Calcs - Power'!$H203+'Calcs - Power'!$I203+'Calcs - Power'!$J203+'Calcs - Power'!$K203))</f>
        <v>41229.591664980195</v>
      </c>
      <c r="Z204" s="366">
        <f>(102*'Emissions Factors'!$C$38*'Calcs - Power'!$B203+'Emissions Factors'!$C$37*('Calcs - Power'!$C203+'Calcs - Power'!$D203+'Calcs - Power'!$E203+'Calcs - Power'!$F203))</f>
        <v>4784637.0226311442</v>
      </c>
      <c r="AA204" s="359">
        <f>(102*'Emissions Factors'!$C$36*'Calcs - Power'!$G203+'Emissions Factors'!$C$35*('Calcs - Power'!$H203+'Calcs - Power'!$I203+'Calcs - Power'!$J203+'Calcs - Power'!$K203))</f>
        <v>77270.33912434004</v>
      </c>
      <c r="AB204" s="366">
        <f>(102*'Emissions Factors'!$C$36*'Calcs - Power'!$B203+'Emissions Factors'!$C$35*('Calcs - Power'!$C203+'Calcs - Power'!$D203+'Calcs - Power'!$E203+'Calcs - Power'!$F203))</f>
        <v>8502325.2435589284</v>
      </c>
      <c r="AI204" s="358">
        <f t="shared" si="32"/>
        <v>192</v>
      </c>
      <c r="AJ204" s="359">
        <f>(('Methane Leakage'!$G$6/'Methane Leakage'!$G$5)*102*'Emissions Factors'!$D$10*'Calcs - Power'!$G203+'Emissions Factors'!$D$11*('Calcs - Power'!$H203+'Calcs - Power'!$I203+'Calcs - Power'!$J203+'Calcs - Power'!$K203))</f>
        <v>5607.1937248583863</v>
      </c>
      <c r="AK204" s="366">
        <f>(('Methane Leakage'!$G$6/'Methane Leakage'!$G$5)*102*'Emissions Factors'!$D$10*'Calcs - Power'!$B203+'Emissions Factors'!$D$11*('Calcs - Power'!$C203+'Calcs - Power'!$D203+'Calcs - Power'!$E203+'Calcs - Power'!$F203))</f>
        <v>663492.43598984811</v>
      </c>
      <c r="AL204" s="359">
        <f>(102*'Emissions Factors'!$E$10*'Calcs - Power'!$G203+'Emissions Factors'!$E$11*('Calcs - Power'!H203+'Calcs - Power'!I203+'Calcs - Power'!J203+'Calcs - Power'!K203))</f>
        <v>6867.5756002290891</v>
      </c>
      <c r="AM204" s="366">
        <f>(102*'Emissions Factors'!$E$10*'Calcs - Power'!$B203+'Emissions Factors'!$E$11*('Calcs - Power'!C203+'Calcs - Power'!D203+'Calcs - Power'!E203+'Calcs - Power'!F203))</f>
        <v>758814.19320725126</v>
      </c>
      <c r="AN204" s="359">
        <f>(102*'Emissions Factors'!$D$10*'Calcs - Power'!$G203+'Emissions Factors'!$D$11*('Calcs - Power'!$H203+'Calcs - Power'!$I203+'Calcs - Power'!$J203+'Calcs - Power'!$K203))</f>
        <v>5607.1937248583863</v>
      </c>
      <c r="AO204" s="366">
        <f>(102*'Emissions Factors'!$D$10*'Calcs - Power'!$B203+'Emissions Factors'!$D$11*('Calcs - Power'!$C203+'Calcs - Power'!$D203+'Calcs - Power'!$E203+'Calcs - Power'!$F203))</f>
        <v>663492.43598984811</v>
      </c>
      <c r="AP204" s="367">
        <f>(102*'Emissions Factors'!$E$10*'Calcs - Power'!$G203+'Emissions Factors'!$E$11*('Calcs - Power'!H203+'Calcs - Power'!I203+'Calcs - Power'!J203+'Calcs - Power'!K203))</f>
        <v>6867.5756002290891</v>
      </c>
      <c r="AQ204" s="366">
        <f>(102*'Emissions Factors'!$E$10*'Calcs - Power'!$B203+'Emissions Factors'!$E$11*('Calcs - Power'!C203+'Calcs - Power'!D203+'Calcs - Power'!E203+'Calcs - Power'!F203))</f>
        <v>758814.19320725126</v>
      </c>
      <c r="AS204" s="357"/>
      <c r="AT204" s="357"/>
      <c r="AU204" s="357"/>
      <c r="AV204" s="357"/>
      <c r="AX204" s="358">
        <f t="shared" si="33"/>
        <v>192</v>
      </c>
      <c r="AY204" s="359">
        <f>(('Methane Leakage'!$G$6/'Methane Leakage'!$G$5)*102*'Emissions Factors'!$F$10*'Calcs - Power'!$G203+'Emissions Factors'!$F$11*('Calcs - Power'!$H203+'Calcs - Power'!$I203+'Calcs - Power'!$J203+'Calcs - Power'!$K203))</f>
        <v>7775890.094504524</v>
      </c>
      <c r="AZ204" s="366">
        <f>(('Methane Leakage'!$G$6/'Methane Leakage'!$G$5)*102*'Emissions Factors'!$F$10*'Calcs - Power'!$B203+'Emissions Factors'!$F$11*('Calcs - Power'!$C203+'Calcs - Power'!$D203+'Calcs - Power'!$E203+'Calcs - Power'!$F203))</f>
        <v>901267569.59564424</v>
      </c>
      <c r="BA204" s="359">
        <f>(102*'Emissions Factors'!$G$10*'Calcs - Power'!$G203+'Emissions Factors'!$G$11*('Calcs - Power'!H203+'Calcs - Power'!I203+'Calcs - Power'!J203+'Calcs - Power'!K203))</f>
        <v>7939477.961602441</v>
      </c>
      <c r="BB204" s="366">
        <f>(102*'Emissions Factors'!$G$10*'Calcs - Power'!$B203+'Emissions Factors'!$G$11*('Calcs - Power'!C203+'Calcs - Power'!D203+'Calcs - Power'!E203+'Calcs - Power'!F203))</f>
        <v>875336409.71599138</v>
      </c>
      <c r="BC204" s="359">
        <f>(102*'Emissions Factors'!$F$10*'Calcs - Power'!$G203+'Emissions Factors'!$F$11*('Calcs - Power'!$H203+'Calcs - Power'!$I203+'Calcs - Power'!$J203+'Calcs - Power'!$K203))</f>
        <v>7775890.094504524</v>
      </c>
      <c r="BD204" s="366">
        <f>(102*'Emissions Factors'!$F$10*'Calcs - Power'!$B203+'Emissions Factors'!$F$11*('Calcs - Power'!$C203+'Calcs - Power'!$D203+'Calcs - Power'!$E203+'Calcs - Power'!$F203))</f>
        <v>901267569.59564424</v>
      </c>
      <c r="BE204" s="359">
        <f>(102*'Emissions Factors'!$G$10*'Calcs - Power'!$G203+'Emissions Factors'!$G$11*('Calcs - Power'!H203+'Calcs - Power'!I203+'Calcs - Power'!J203+'Calcs - Power'!K203))</f>
        <v>7939477.961602441</v>
      </c>
      <c r="BF204" s="366">
        <f>(102*'Emissions Factors'!$G$10*'Calcs - Power'!$B203+'Emissions Factors'!$G$11*('Calcs - Power'!C203+'Calcs - Power'!D203+'Calcs - Power'!E203+'Calcs - Power'!F203))</f>
        <v>875336409.71599138</v>
      </c>
    </row>
    <row r="205" spans="1:58" x14ac:dyDescent="0.3">
      <c r="A205" s="351">
        <f t="shared" si="30"/>
        <v>193</v>
      </c>
      <c r="B205" s="352">
        <f t="shared" si="34"/>
        <v>1</v>
      </c>
      <c r="C205" s="363">
        <f t="shared" si="35"/>
        <v>0.99999999999999978</v>
      </c>
      <c r="D205" s="352">
        <f t="shared" si="36"/>
        <v>1</v>
      </c>
      <c r="E205" s="364">
        <f t="shared" si="37"/>
        <v>1</v>
      </c>
      <c r="F205" s="364">
        <f t="shared" si="38"/>
        <v>1</v>
      </c>
      <c r="G205" s="365">
        <f t="shared" si="39"/>
        <v>1</v>
      </c>
      <c r="P205" s="358">
        <f t="shared" si="31"/>
        <v>193</v>
      </c>
      <c r="Q205" s="359">
        <f>(('Methane Leakage'!$C$6/'Methane Leakage'!$C$5)*102*'Emissions Factors'!$C$38*'Calcs - Power'!$G204+'Emissions Factors'!$C$37*('Calcs - Power'!$H204+'Calcs - Power'!$I204+'Calcs - Power'!$J204+'Calcs - Power'!$K204))</f>
        <v>41373.422405644051</v>
      </c>
      <c r="R205" s="366">
        <f>(('Methane Leakage'!$C$6/'Methane Leakage'!$C$5)*102*'Emissions Factors'!$C$38*'Calcs - Power'!$B204+'Emissions Factors'!$C$37*('Calcs - Power'!$C204+'Calcs - Power'!$D204+'Calcs - Power'!$E204+'Calcs - Power'!$F204))</f>
        <v>4825938.549210906</v>
      </c>
      <c r="S205" s="359">
        <f>(('Methane Leakage'!$C$6/'Methane Leakage'!$C$5)*102*'Emissions Factors'!$D$38*'Calcs - Power'!$G204+'Emissions Factors'!$D$37*('Calcs - Power'!$H204+'Calcs - Power'!$I204+'Calcs - Power'!$J204+'Calcs - Power'!$K204))</f>
        <v>41373.422405644051</v>
      </c>
      <c r="T205" s="366">
        <f>(('Methane Leakage'!$C$6/'Methane Leakage'!$C$5)*102*'Emissions Factors'!$D$38*'Calcs - Power'!$B204+'Emissions Factors'!$D$37*('Calcs - Power'!$C204+'Calcs - Power'!$D204+'Calcs - Power'!$E204+'Calcs - Power'!$F204))</f>
        <v>4825938.549210906</v>
      </c>
      <c r="U205" s="361">
        <f>(102*'Emissions Factors'!$C$36*'Calcs - Power'!$G204+'Emissions Factors'!$C$35*('Calcs - Power'!$H204+'Calcs - Power'!$I204+'Calcs - Power'!$J204+'Calcs - Power'!$K204))</f>
        <v>77565.253293783637</v>
      </c>
      <c r="V205" s="366">
        <f>(102*'Emissions Factors'!$C$36*'Calcs - Power'!$B204+'Emissions Factors'!$C$35*('Calcs - Power'!$C204+'Calcs - Power'!$D204+'Calcs - Power'!$E204+'Calcs - Power'!$F204))</f>
        <v>8579743.079841977</v>
      </c>
      <c r="W205" s="359">
        <f>(102*'Emissions Factors'!$D$36*'Calcs - Power'!$G204+'Emissions Factors'!$D$35*('Calcs - Power'!$H204+'Calcs - Power'!$I204+'Calcs - Power'!$J204+'Calcs - Power'!$K204))</f>
        <v>77565.253293783637</v>
      </c>
      <c r="X205" s="366">
        <f>(102*'Emissions Factors'!$D$36*'Calcs - Power'!$B204+'Emissions Factors'!$D$35*('Calcs - Power'!$C204+'Calcs - Power'!$D204+'Calcs - Power'!$E204+'Calcs - Power'!$F204))</f>
        <v>8579743.079841977</v>
      </c>
      <c r="Y205" s="359">
        <f>(102*'Emissions Factors'!$C$38*'Calcs - Power'!$G204+'Emissions Factors'!$C$37*('Calcs - Power'!$H204+'Calcs - Power'!$I204+'Calcs - Power'!$J204+'Calcs - Power'!$K204))</f>
        <v>41373.422405644051</v>
      </c>
      <c r="Z205" s="366">
        <f>(102*'Emissions Factors'!$C$38*'Calcs - Power'!$B204+'Emissions Factors'!$C$37*('Calcs - Power'!$C204+'Calcs - Power'!$D204+'Calcs - Power'!$E204+'Calcs - Power'!$F204))</f>
        <v>4825938.549210906</v>
      </c>
      <c r="AA205" s="359">
        <f>(102*'Emissions Factors'!$C$36*'Calcs - Power'!$G204+'Emissions Factors'!$C$35*('Calcs - Power'!$H204+'Calcs - Power'!$I204+'Calcs - Power'!$J204+'Calcs - Power'!$K204))</f>
        <v>77565.253293783637</v>
      </c>
      <c r="AB205" s="366">
        <f>(102*'Emissions Factors'!$C$36*'Calcs - Power'!$B204+'Emissions Factors'!$C$35*('Calcs - Power'!$C204+'Calcs - Power'!$D204+'Calcs - Power'!$E204+'Calcs - Power'!$F204))</f>
        <v>8579743.079841977</v>
      </c>
      <c r="AI205" s="358">
        <f t="shared" si="32"/>
        <v>193</v>
      </c>
      <c r="AJ205" s="359">
        <f>(('Methane Leakage'!$G$6/'Methane Leakage'!$G$5)*102*'Emissions Factors'!$D$10*'Calcs - Power'!$G204+'Emissions Factors'!$D$11*('Calcs - Power'!$H204+'Calcs - Power'!$I204+'Calcs - Power'!$J204+'Calcs - Power'!$K204))</f>
        <v>5626.0571617827154</v>
      </c>
      <c r="AK205" s="366">
        <f>(('Methane Leakage'!$G$6/'Methane Leakage'!$G$5)*102*'Emissions Factors'!$D$10*'Calcs - Power'!$B204+'Emissions Factors'!$D$11*('Calcs - Power'!$C204+'Calcs - Power'!$D204+'Calcs - Power'!$E204+'Calcs - Power'!$F204))</f>
        <v>669109.06399644027</v>
      </c>
      <c r="AL205" s="359">
        <f>(102*'Emissions Factors'!$E$10*'Calcs - Power'!$G204+'Emissions Factors'!$E$11*('Calcs - Power'!H204+'Calcs - Power'!I204+'Calcs - Power'!J204+'Calcs - Power'!K204))</f>
        <v>6893.6148833824709</v>
      </c>
      <c r="AM205" s="366">
        <f>(102*'Emissions Factors'!$E$10*'Calcs - Power'!$B204+'Emissions Factors'!$E$11*('Calcs - Power'!C204+'Calcs - Power'!D204+'Calcs - Power'!E204+'Calcs - Power'!F204))</f>
        <v>765694.79198737</v>
      </c>
      <c r="AN205" s="359">
        <f>(102*'Emissions Factors'!$D$10*'Calcs - Power'!$G204+'Emissions Factors'!$D$11*('Calcs - Power'!$H204+'Calcs - Power'!$I204+'Calcs - Power'!$J204+'Calcs - Power'!$K204))</f>
        <v>5626.0571617827154</v>
      </c>
      <c r="AO205" s="366">
        <f>(102*'Emissions Factors'!$D$10*'Calcs - Power'!$B204+'Emissions Factors'!$D$11*('Calcs - Power'!$C204+'Calcs - Power'!$D204+'Calcs - Power'!$E204+'Calcs - Power'!$F204))</f>
        <v>669109.06399644027</v>
      </c>
      <c r="AP205" s="367">
        <f>(102*'Emissions Factors'!$E$10*'Calcs - Power'!$G204+'Emissions Factors'!$E$11*('Calcs - Power'!H204+'Calcs - Power'!I204+'Calcs - Power'!J204+'Calcs - Power'!K204))</f>
        <v>6893.6148833824709</v>
      </c>
      <c r="AQ205" s="366">
        <f>(102*'Emissions Factors'!$E$10*'Calcs - Power'!$B204+'Emissions Factors'!$E$11*('Calcs - Power'!C204+'Calcs - Power'!D204+'Calcs - Power'!E204+'Calcs - Power'!F204))</f>
        <v>765694.79198737</v>
      </c>
      <c r="AS205" s="357"/>
      <c r="AT205" s="357"/>
      <c r="AU205" s="357"/>
      <c r="AV205" s="357"/>
      <c r="AX205" s="358">
        <f t="shared" si="33"/>
        <v>193</v>
      </c>
      <c r="AY205" s="359">
        <f>(('Methane Leakage'!$G$6/'Methane Leakage'!$G$5)*102*'Emissions Factors'!$F$10*'Calcs - Power'!$G204+'Emissions Factors'!$F$11*('Calcs - Power'!$H204+'Calcs - Power'!$I204+'Calcs - Power'!$J204+'Calcs - Power'!$K204))</f>
        <v>7803077.2865403676</v>
      </c>
      <c r="AZ205" s="366">
        <f>(('Methane Leakage'!$G$6/'Methane Leakage'!$G$5)*102*'Emissions Factors'!$F$10*'Calcs - Power'!$B204+'Emissions Factors'!$F$11*('Calcs - Power'!$C204+'Calcs - Power'!$D204+'Calcs - Power'!$E204+'Calcs - Power'!$F204))</f>
        <v>909057056.98049903</v>
      </c>
      <c r="BA205" s="359">
        <f>(102*'Emissions Factors'!$G$10*'Calcs - Power'!$G204+'Emissions Factors'!$G$11*('Calcs - Power'!H204+'Calcs - Power'!I204+'Calcs - Power'!J204+'Calcs - Power'!K204))</f>
        <v>7969685.9464513082</v>
      </c>
      <c r="BB205" s="366">
        <f>(102*'Emissions Factors'!$G$10*'Calcs - Power'!$B204+'Emissions Factors'!$G$11*('Calcs - Power'!C204+'Calcs - Power'!D204+'Calcs - Power'!E204+'Calcs - Power'!F204))</f>
        <v>883290995.77478802</v>
      </c>
      <c r="BC205" s="359">
        <f>(102*'Emissions Factors'!$F$10*'Calcs - Power'!$G204+'Emissions Factors'!$F$11*('Calcs - Power'!$H204+'Calcs - Power'!$I204+'Calcs - Power'!$J204+'Calcs - Power'!$K204))</f>
        <v>7803077.2865403676</v>
      </c>
      <c r="BD205" s="366">
        <f>(102*'Emissions Factors'!$F$10*'Calcs - Power'!$B204+'Emissions Factors'!$F$11*('Calcs - Power'!$C204+'Calcs - Power'!$D204+'Calcs - Power'!$E204+'Calcs - Power'!$F204))</f>
        <v>909057056.98049903</v>
      </c>
      <c r="BE205" s="359">
        <f>(102*'Emissions Factors'!$G$10*'Calcs - Power'!$G204+'Emissions Factors'!$G$11*('Calcs - Power'!H204+'Calcs - Power'!I204+'Calcs - Power'!J204+'Calcs - Power'!K204))</f>
        <v>7969685.9464513082</v>
      </c>
      <c r="BF205" s="366">
        <f>(102*'Emissions Factors'!$G$10*'Calcs - Power'!$B204+'Emissions Factors'!$G$11*('Calcs - Power'!C204+'Calcs - Power'!D204+'Calcs - Power'!E204+'Calcs - Power'!F204))</f>
        <v>883290995.77478802</v>
      </c>
    </row>
    <row r="206" spans="1:58" x14ac:dyDescent="0.3">
      <c r="A206" s="351">
        <f t="shared" si="30"/>
        <v>194</v>
      </c>
      <c r="B206" s="352">
        <f t="shared" si="34"/>
        <v>0.99999999999999967</v>
      </c>
      <c r="C206" s="363">
        <f t="shared" si="35"/>
        <v>0.99999999999999978</v>
      </c>
      <c r="D206" s="352">
        <f t="shared" si="36"/>
        <v>1</v>
      </c>
      <c r="E206" s="364">
        <f t="shared" si="37"/>
        <v>1</v>
      </c>
      <c r="F206" s="364">
        <f t="shared" si="38"/>
        <v>1</v>
      </c>
      <c r="G206" s="365">
        <f t="shared" si="39"/>
        <v>1</v>
      </c>
      <c r="P206" s="358">
        <f t="shared" si="31"/>
        <v>194</v>
      </c>
      <c r="Q206" s="359">
        <f>(('Methane Leakage'!$C$6/'Methane Leakage'!$C$5)*102*'Emissions Factors'!$C$38*'Calcs - Power'!$G205+'Emissions Factors'!$C$37*('Calcs - Power'!$H205+'Calcs - Power'!$I205+'Calcs - Power'!$J205+'Calcs - Power'!$K205))</f>
        <v>41517.019296061713</v>
      </c>
      <c r="R206" s="366">
        <f>(('Methane Leakage'!$C$6/'Methane Leakage'!$C$5)*102*'Emissions Factors'!$C$38*'Calcs - Power'!$B205+'Emissions Factors'!$C$37*('Calcs - Power'!$C205+'Calcs - Power'!$D205+'Calcs - Power'!$E205+'Calcs - Power'!$F205))</f>
        <v>4867383.7894924441</v>
      </c>
      <c r="S206" s="359">
        <f>(('Methane Leakage'!$C$6/'Methane Leakage'!$C$5)*102*'Emissions Factors'!$D$38*'Calcs - Power'!$G205+'Emissions Factors'!$D$37*('Calcs - Power'!$H205+'Calcs - Power'!$I205+'Calcs - Power'!$J205+'Calcs - Power'!$K205))</f>
        <v>41517.019296061713</v>
      </c>
      <c r="T206" s="366">
        <f>(('Methane Leakage'!$C$6/'Methane Leakage'!$C$5)*102*'Emissions Factors'!$D$38*'Calcs - Power'!$B205+'Emissions Factors'!$D$37*('Calcs - Power'!$C205+'Calcs - Power'!$D205+'Calcs - Power'!$E205+'Calcs - Power'!$F205))</f>
        <v>4867383.7894924441</v>
      </c>
      <c r="U206" s="361">
        <f>(102*'Emissions Factors'!$C$36*'Calcs - Power'!$G205+'Emissions Factors'!$C$35*('Calcs - Power'!$H205+'Calcs - Power'!$I205+'Calcs - Power'!$J205+'Calcs - Power'!$K205))</f>
        <v>77859.68797592113</v>
      </c>
      <c r="V206" s="366">
        <f>(102*'Emissions Factors'!$C$36*'Calcs - Power'!$B205+'Emissions Factors'!$C$35*('Calcs - Power'!$C205+'Calcs - Power'!$D205+'Calcs - Power'!$E205+'Calcs - Power'!$F205))</f>
        <v>8657455.5903175864</v>
      </c>
      <c r="W206" s="359">
        <f>(102*'Emissions Factors'!$D$36*'Calcs - Power'!$G205+'Emissions Factors'!$D$35*('Calcs - Power'!$H205+'Calcs - Power'!$I205+'Calcs - Power'!$J205+'Calcs - Power'!$K205))</f>
        <v>77859.68797592113</v>
      </c>
      <c r="X206" s="366">
        <f>(102*'Emissions Factors'!$D$36*'Calcs - Power'!$B205+'Emissions Factors'!$D$35*('Calcs - Power'!$C205+'Calcs - Power'!$D205+'Calcs - Power'!$E205+'Calcs - Power'!$F205))</f>
        <v>8657455.5903175864</v>
      </c>
      <c r="Y206" s="359">
        <f>(102*'Emissions Factors'!$C$38*'Calcs - Power'!$G205+'Emissions Factors'!$C$37*('Calcs - Power'!$H205+'Calcs - Power'!$I205+'Calcs - Power'!$J205+'Calcs - Power'!$K205))</f>
        <v>41517.019296061713</v>
      </c>
      <c r="Z206" s="366">
        <f>(102*'Emissions Factors'!$C$38*'Calcs - Power'!$B205+'Emissions Factors'!$C$37*('Calcs - Power'!$C205+'Calcs - Power'!$D205+'Calcs - Power'!$E205+'Calcs - Power'!$F205))</f>
        <v>4867383.7894924441</v>
      </c>
      <c r="AA206" s="359">
        <f>(102*'Emissions Factors'!$C$36*'Calcs - Power'!$G205+'Emissions Factors'!$C$35*('Calcs - Power'!$H205+'Calcs - Power'!$I205+'Calcs - Power'!$J205+'Calcs - Power'!$K205))</f>
        <v>77859.68797592113</v>
      </c>
      <c r="AB206" s="366">
        <f>(102*'Emissions Factors'!$C$36*'Calcs - Power'!$B205+'Emissions Factors'!$C$35*('Calcs - Power'!$C205+'Calcs - Power'!$D205+'Calcs - Power'!$E205+'Calcs - Power'!$F205))</f>
        <v>8657455.5903175864</v>
      </c>
      <c r="AI206" s="358">
        <f t="shared" si="32"/>
        <v>194</v>
      </c>
      <c r="AJ206" s="359">
        <f>(('Methane Leakage'!$G$6/'Methane Leakage'!$G$5)*102*'Emissions Factors'!$D$10*'Calcs - Power'!$G205+'Emissions Factors'!$D$11*('Calcs - Power'!$H205+'Calcs - Power'!$I205+'Calcs - Power'!$J205+'Calcs - Power'!$K205))</f>
        <v>5644.8899290489808</v>
      </c>
      <c r="AK206" s="366">
        <f>(('Methane Leakage'!$G$6/'Methane Leakage'!$G$5)*102*'Emissions Factors'!$D$10*'Calcs - Power'!$B205+'Emissions Factors'!$D$11*('Calcs - Power'!$C205+'Calcs - Power'!$D205+'Calcs - Power'!$E205+'Calcs - Power'!$F205))</f>
        <v>674744.54009020654</v>
      </c>
      <c r="AL206" s="359">
        <f>(102*'Emissions Factors'!$E$10*'Calcs - Power'!$G205+'Emissions Factors'!$E$11*('Calcs - Power'!H205+'Calcs - Power'!I205+'Calcs - Power'!J205+'Calcs - Power'!K205))</f>
        <v>6919.6118304381471</v>
      </c>
      <c r="AM206" s="366">
        <f>(102*'Emissions Factors'!$E$10*'Calcs - Power'!$B205+'Emissions Factors'!$E$11*('Calcs - Power'!C205+'Calcs - Power'!D205+'Calcs - Power'!E205+'Calcs - Power'!F205))</f>
        <v>772601.40886200056</v>
      </c>
      <c r="AN206" s="359">
        <f>(102*'Emissions Factors'!$D$10*'Calcs - Power'!$G205+'Emissions Factors'!$D$11*('Calcs - Power'!$H205+'Calcs - Power'!$I205+'Calcs - Power'!$J205+'Calcs - Power'!$K205))</f>
        <v>5644.8899290489808</v>
      </c>
      <c r="AO206" s="366">
        <f>(102*'Emissions Factors'!$D$10*'Calcs - Power'!$B205+'Emissions Factors'!$D$11*('Calcs - Power'!$C205+'Calcs - Power'!$D205+'Calcs - Power'!$E205+'Calcs - Power'!$F205))</f>
        <v>674744.54009020654</v>
      </c>
      <c r="AP206" s="367">
        <f>(102*'Emissions Factors'!$E$10*'Calcs - Power'!$G205+'Emissions Factors'!$E$11*('Calcs - Power'!H205+'Calcs - Power'!I205+'Calcs - Power'!J205+'Calcs - Power'!K205))</f>
        <v>6919.6118304381471</v>
      </c>
      <c r="AQ206" s="366">
        <f>(102*'Emissions Factors'!$E$10*'Calcs - Power'!$B205+'Emissions Factors'!$E$11*('Calcs - Power'!C205+'Calcs - Power'!D205+'Calcs - Power'!E205+'Calcs - Power'!F205))</f>
        <v>772601.40886200056</v>
      </c>
      <c r="AS206" s="357"/>
      <c r="AT206" s="357"/>
      <c r="AU206" s="357"/>
      <c r="AV206" s="357"/>
      <c r="AX206" s="358">
        <f t="shared" si="33"/>
        <v>194</v>
      </c>
      <c r="AY206" s="359">
        <f>(('Methane Leakage'!$G$6/'Methane Leakage'!$G$5)*102*'Emissions Factors'!$F$10*'Calcs - Power'!$G205+'Emissions Factors'!$F$11*('Calcs - Power'!$H205+'Calcs - Power'!$I205+'Calcs - Power'!$J205+'Calcs - Power'!$K205))</f>
        <v>7830220.2757183528</v>
      </c>
      <c r="AZ206" s="366">
        <f>(('Methane Leakage'!$G$6/'Methane Leakage'!$G$5)*102*'Emissions Factors'!$F$10*'Calcs - Power'!$B205+'Emissions Factors'!$F$11*('Calcs - Power'!$C205+'Calcs - Power'!$D205+'Calcs - Power'!$E205+'Calcs - Power'!$F205))</f>
        <v>916873709.43445683</v>
      </c>
      <c r="BA206" s="359">
        <f>(102*'Emissions Factors'!$G$10*'Calcs - Power'!$G205+'Emissions Factors'!$G$11*('Calcs - Power'!H205+'Calcs - Power'!I205+'Calcs - Power'!J205+'Calcs - Power'!K205))</f>
        <v>7999844.8175175507</v>
      </c>
      <c r="BB206" s="366">
        <f>(102*'Emissions Factors'!$G$10*'Calcs - Power'!$B205+'Emissions Factors'!$G$11*('Calcs - Power'!C205+'Calcs - Power'!D205+'Calcs - Power'!E205+'Calcs - Power'!F205))</f>
        <v>891275765.2376529</v>
      </c>
      <c r="BC206" s="359">
        <f>(102*'Emissions Factors'!$F$10*'Calcs - Power'!$G205+'Emissions Factors'!$F$11*('Calcs - Power'!$H205+'Calcs - Power'!$I205+'Calcs - Power'!$J205+'Calcs - Power'!$K205))</f>
        <v>7830220.2757183528</v>
      </c>
      <c r="BD206" s="366">
        <f>(102*'Emissions Factors'!$F$10*'Calcs - Power'!$B205+'Emissions Factors'!$F$11*('Calcs - Power'!$C205+'Calcs - Power'!$D205+'Calcs - Power'!$E205+'Calcs - Power'!$F205))</f>
        <v>916873709.43445683</v>
      </c>
      <c r="BE206" s="359">
        <f>(102*'Emissions Factors'!$G$10*'Calcs - Power'!$G205+'Emissions Factors'!$G$11*('Calcs - Power'!H205+'Calcs - Power'!I205+'Calcs - Power'!J205+'Calcs - Power'!K205))</f>
        <v>7999844.8175175507</v>
      </c>
      <c r="BF206" s="366">
        <f>(102*'Emissions Factors'!$G$10*'Calcs - Power'!$B205+'Emissions Factors'!$G$11*('Calcs - Power'!C205+'Calcs - Power'!D205+'Calcs - Power'!E205+'Calcs - Power'!F205))</f>
        <v>891275765.2376529</v>
      </c>
    </row>
    <row r="207" spans="1:58" x14ac:dyDescent="0.3">
      <c r="A207" s="351">
        <f t="shared" ref="A207:A212" si="40">A206+1</f>
        <v>195</v>
      </c>
      <c r="B207" s="352">
        <f t="shared" si="34"/>
        <v>1</v>
      </c>
      <c r="C207" s="363">
        <f t="shared" si="35"/>
        <v>1</v>
      </c>
      <c r="D207" s="352">
        <f t="shared" si="36"/>
        <v>1</v>
      </c>
      <c r="E207" s="364">
        <f t="shared" si="37"/>
        <v>1</v>
      </c>
      <c r="F207" s="364">
        <f t="shared" si="38"/>
        <v>1</v>
      </c>
      <c r="G207" s="365">
        <f t="shared" si="39"/>
        <v>1</v>
      </c>
      <c r="P207" s="358">
        <f t="shared" ref="P207:P212" si="41">P206+1</f>
        <v>195</v>
      </c>
      <c r="Q207" s="359">
        <f>(('Methane Leakage'!$C$6/'Methane Leakage'!$C$5)*102*'Emissions Factors'!$C$38*'Calcs - Power'!$G206+'Emissions Factors'!$C$37*('Calcs - Power'!$H206+'Calcs - Power'!$I206+'Calcs - Power'!$J206+'Calcs - Power'!$K206))</f>
        <v>41660.383697125559</v>
      </c>
      <c r="R207" s="366">
        <f>(('Methane Leakage'!$C$6/'Methane Leakage'!$C$5)*102*'Emissions Factors'!$C$38*'Calcs - Power'!$B206+'Emissions Factors'!$C$37*('Calcs - Power'!$C206+'Calcs - Power'!$D206+'Calcs - Power'!$E206+'Calcs - Power'!$F206))</f>
        <v>4908972.5103066722</v>
      </c>
      <c r="S207" s="359">
        <f>(('Methane Leakage'!$C$6/'Methane Leakage'!$C$5)*102*'Emissions Factors'!$D$38*'Calcs - Power'!$G206+'Emissions Factors'!$D$37*('Calcs - Power'!$H206+'Calcs - Power'!$I206+'Calcs - Power'!$J206+'Calcs - Power'!$K206))</f>
        <v>41660.383697125559</v>
      </c>
      <c r="T207" s="366">
        <f>(('Methane Leakage'!$C$6/'Methane Leakage'!$C$5)*102*'Emissions Factors'!$D$38*'Calcs - Power'!$B206+'Emissions Factors'!$D$37*('Calcs - Power'!$C206+'Calcs - Power'!$D206+'Calcs - Power'!$E206+'Calcs - Power'!$F206))</f>
        <v>4908972.5103066722</v>
      </c>
      <c r="U207" s="361">
        <f>(102*'Emissions Factors'!$C$36*'Calcs - Power'!$G206+'Emissions Factors'!$C$35*('Calcs - Power'!$H206+'Calcs - Power'!$I206+'Calcs - Power'!$J206+'Calcs - Power'!$K206))</f>
        <v>78153.645960743044</v>
      </c>
      <c r="V207" s="366">
        <f>(102*'Emissions Factors'!$C$36*'Calcs - Power'!$B206+'Emissions Factors'!$C$35*('Calcs - Power'!$C206+'Calcs - Power'!$D206+'Calcs - Power'!$E206+'Calcs - Power'!$F206))</f>
        <v>8735462.2968949061</v>
      </c>
      <c r="W207" s="359">
        <f>(102*'Emissions Factors'!$D$36*'Calcs - Power'!$G206+'Emissions Factors'!$D$35*('Calcs - Power'!$H206+'Calcs - Power'!$I206+'Calcs - Power'!$J206+'Calcs - Power'!$K206))</f>
        <v>78153.645960743044</v>
      </c>
      <c r="X207" s="366">
        <f>(102*'Emissions Factors'!$D$36*'Calcs - Power'!$B206+'Emissions Factors'!$D$35*('Calcs - Power'!$C206+'Calcs - Power'!$D206+'Calcs - Power'!$E206+'Calcs - Power'!$F206))</f>
        <v>8735462.2968949061</v>
      </c>
      <c r="Y207" s="359">
        <f>(102*'Emissions Factors'!$C$38*'Calcs - Power'!$G206+'Emissions Factors'!$C$37*('Calcs - Power'!$H206+'Calcs - Power'!$I206+'Calcs - Power'!$J206+'Calcs - Power'!$K206))</f>
        <v>41660.383697125559</v>
      </c>
      <c r="Z207" s="366">
        <f>(102*'Emissions Factors'!$C$38*'Calcs - Power'!$B206+'Emissions Factors'!$C$37*('Calcs - Power'!$C206+'Calcs - Power'!$D206+'Calcs - Power'!$E206+'Calcs - Power'!$F206))</f>
        <v>4908972.5103066722</v>
      </c>
      <c r="AA207" s="359">
        <f>(102*'Emissions Factors'!$C$36*'Calcs - Power'!$G206+'Emissions Factors'!$C$35*('Calcs - Power'!$H206+'Calcs - Power'!$I206+'Calcs - Power'!$J206+'Calcs - Power'!$K206))</f>
        <v>78153.645960743044</v>
      </c>
      <c r="AB207" s="366">
        <f>(102*'Emissions Factors'!$C$36*'Calcs - Power'!$B206+'Emissions Factors'!$C$35*('Calcs - Power'!$C206+'Calcs - Power'!$D206+'Calcs - Power'!$E206+'Calcs - Power'!$F206))</f>
        <v>8735462.2968949061</v>
      </c>
      <c r="AI207" s="358">
        <f t="shared" ref="AI207:AI212" si="42">AI206+1</f>
        <v>195</v>
      </c>
      <c r="AJ207" s="359">
        <f>(('Methane Leakage'!$G$6/'Methane Leakage'!$G$5)*102*'Emissions Factors'!$D$10*'Calcs - Power'!$G206+'Emissions Factors'!$D$11*('Calcs - Power'!$H206+'Calcs - Power'!$I206+'Calcs - Power'!$J206+'Calcs - Power'!$K206))</f>
        <v>5663.6922051500342</v>
      </c>
      <c r="AK207" s="366">
        <f>(('Methane Leakage'!$G$6/'Methane Leakage'!$G$5)*102*'Emissions Factors'!$D$10*'Calcs - Power'!$B206+'Emissions Factors'!$D$11*('Calcs - Power'!$C206+'Calcs - Power'!$D206+'Calcs - Power'!$E206+'Calcs - Power'!$F206))</f>
        <v>680398.83369082888</v>
      </c>
      <c r="AL207" s="359">
        <f>(102*'Emissions Factors'!$E$10*'Calcs - Power'!$G206+'Emissions Factors'!$E$11*('Calcs - Power'!H206+'Calcs - Power'!I206+'Calcs - Power'!J206+'Calcs - Power'!K206))</f>
        <v>6945.5666877393705</v>
      </c>
      <c r="AM207" s="366">
        <f>(102*'Emissions Factors'!$E$10*'Calcs - Power'!$B206+'Emissions Factors'!$E$11*('Calcs - Power'!C206+'Calcs - Power'!D206+'Calcs - Power'!E206+'Calcs - Power'!F206))</f>
        <v>779534.00161834515</v>
      </c>
      <c r="AN207" s="359">
        <f>(102*'Emissions Factors'!$D$10*'Calcs - Power'!$G206+'Emissions Factors'!$D$11*('Calcs - Power'!$H206+'Calcs - Power'!$I206+'Calcs - Power'!$J206+'Calcs - Power'!$K206))</f>
        <v>5663.6922051500342</v>
      </c>
      <c r="AO207" s="366">
        <f>(102*'Emissions Factors'!$D$10*'Calcs - Power'!$B206+'Emissions Factors'!$D$11*('Calcs - Power'!$C206+'Calcs - Power'!$D206+'Calcs - Power'!$E206+'Calcs - Power'!$F206))</f>
        <v>680398.83369082888</v>
      </c>
      <c r="AP207" s="367">
        <f>(102*'Emissions Factors'!$E$10*'Calcs - Power'!$G206+'Emissions Factors'!$E$11*('Calcs - Power'!H206+'Calcs - Power'!I206+'Calcs - Power'!J206+'Calcs - Power'!K206))</f>
        <v>6945.5666877393705</v>
      </c>
      <c r="AQ207" s="366">
        <f>(102*'Emissions Factors'!$E$10*'Calcs - Power'!$B206+'Emissions Factors'!$E$11*('Calcs - Power'!C206+'Calcs - Power'!D206+'Calcs - Power'!E206+'Calcs - Power'!F206))</f>
        <v>779534.00161834515</v>
      </c>
      <c r="AS207" s="357"/>
      <c r="AT207" s="357"/>
      <c r="AU207" s="357"/>
      <c r="AV207" s="357"/>
      <c r="AX207" s="358">
        <f t="shared" ref="AX207:AX212" si="43">AX206+1</f>
        <v>195</v>
      </c>
      <c r="AY207" s="359">
        <f>(('Methane Leakage'!$G$6/'Methane Leakage'!$G$5)*102*'Emissions Factors'!$F$10*'Calcs - Power'!$G206+'Emissions Factors'!$F$11*('Calcs - Power'!$H206+'Calcs - Power'!$I206+'Calcs - Power'!$J206+'Calcs - Power'!$K206))</f>
        <v>7857319.3192762425</v>
      </c>
      <c r="AZ207" s="366">
        <f>(('Methane Leakage'!$G$6/'Methane Leakage'!$G$5)*102*'Emissions Factors'!$F$10*'Calcs - Power'!$B206+'Emissions Factors'!$F$11*('Calcs - Power'!$C206+'Calcs - Power'!$D206+'Calcs - Power'!$E206+'Calcs - Power'!$F206))</f>
        <v>924717482.88341355</v>
      </c>
      <c r="BA207" s="359">
        <f>(102*'Emissions Factors'!$G$10*'Calcs - Power'!$G206+'Emissions Factors'!$G$11*('Calcs - Power'!H206+'Calcs - Power'!I206+'Calcs - Power'!J206+'Calcs - Power'!K206))</f>
        <v>8029954.8605806194</v>
      </c>
      <c r="BB207" s="366">
        <f>(102*'Emissions Factors'!$G$10*'Calcs - Power'!$B206+'Emissions Factors'!$G$11*('Calcs - Power'!C206+'Calcs - Power'!D206+'Calcs - Power'!E206+'Calcs - Power'!F206))</f>
        <v>899290669.13384187</v>
      </c>
      <c r="BC207" s="359">
        <f>(102*'Emissions Factors'!$F$10*'Calcs - Power'!$G206+'Emissions Factors'!$F$11*('Calcs - Power'!$H206+'Calcs - Power'!$I206+'Calcs - Power'!$J206+'Calcs - Power'!$K206))</f>
        <v>7857319.3192762425</v>
      </c>
      <c r="BD207" s="366">
        <f>(102*'Emissions Factors'!$F$10*'Calcs - Power'!$B206+'Emissions Factors'!$F$11*('Calcs - Power'!$C206+'Calcs - Power'!$D206+'Calcs - Power'!$E206+'Calcs - Power'!$F206))</f>
        <v>924717482.88341355</v>
      </c>
      <c r="BE207" s="359">
        <f>(102*'Emissions Factors'!$G$10*'Calcs - Power'!$G206+'Emissions Factors'!$G$11*('Calcs - Power'!H206+'Calcs - Power'!I206+'Calcs - Power'!J206+'Calcs - Power'!K206))</f>
        <v>8029954.8605806194</v>
      </c>
      <c r="BF207" s="366">
        <f>(102*'Emissions Factors'!$G$10*'Calcs - Power'!$B206+'Emissions Factors'!$G$11*('Calcs - Power'!C206+'Calcs - Power'!D206+'Calcs - Power'!E206+'Calcs - Power'!F206))</f>
        <v>899290669.13384187</v>
      </c>
    </row>
    <row r="208" spans="1:58" x14ac:dyDescent="0.3">
      <c r="A208" s="351">
        <f t="shared" si="40"/>
        <v>196</v>
      </c>
      <c r="B208" s="352">
        <f t="shared" si="34"/>
        <v>0.99999999999999989</v>
      </c>
      <c r="C208" s="363">
        <f t="shared" si="35"/>
        <v>0.99999999999999978</v>
      </c>
      <c r="D208" s="352">
        <f t="shared" si="36"/>
        <v>1</v>
      </c>
      <c r="E208" s="364">
        <f t="shared" si="37"/>
        <v>1</v>
      </c>
      <c r="F208" s="364">
        <f t="shared" si="38"/>
        <v>1</v>
      </c>
      <c r="G208" s="365">
        <f t="shared" si="39"/>
        <v>1</v>
      </c>
      <c r="P208" s="358">
        <f t="shared" si="41"/>
        <v>196</v>
      </c>
      <c r="Q208" s="359">
        <f>(('Methane Leakage'!$C$6/'Methane Leakage'!$C$5)*102*'Emissions Factors'!$C$38*'Calcs - Power'!$G207+'Emissions Factors'!$C$37*('Calcs - Power'!$H207+'Calcs - Power'!$I207+'Calcs - Power'!$J207+'Calcs - Power'!$K207))</f>
        <v>41803.516961228052</v>
      </c>
      <c r="R208" s="366">
        <f>(('Methane Leakage'!$C$6/'Methane Leakage'!$C$5)*102*'Emissions Factors'!$C$38*'Calcs - Power'!$B207+'Emissions Factors'!$C$37*('Calcs - Power'!$C207+'Calcs - Power'!$D207+'Calcs - Power'!$E207+'Calcs - Power'!$F207))</f>
        <v>4950704.4798411354</v>
      </c>
      <c r="S208" s="359">
        <f>(('Methane Leakage'!$C$6/'Methane Leakage'!$C$5)*102*'Emissions Factors'!$D$38*'Calcs - Power'!$G207+'Emissions Factors'!$D$37*('Calcs - Power'!$H207+'Calcs - Power'!$I207+'Calcs - Power'!$J207+'Calcs - Power'!$K207))</f>
        <v>41803.516961228052</v>
      </c>
      <c r="T208" s="366">
        <f>(('Methane Leakage'!$C$6/'Methane Leakage'!$C$5)*102*'Emissions Factors'!$D$38*'Calcs - Power'!$B207+'Emissions Factors'!$D$37*('Calcs - Power'!$C207+'Calcs - Power'!$D207+'Calcs - Power'!$E207+'Calcs - Power'!$F207))</f>
        <v>4950704.4798411354</v>
      </c>
      <c r="U208" s="361">
        <f>(102*'Emissions Factors'!$C$36*'Calcs - Power'!$G207+'Emissions Factors'!$C$35*('Calcs - Power'!$H207+'Calcs - Power'!$I207+'Calcs - Power'!$J207+'Calcs - Power'!$K207))</f>
        <v>78447.130020844896</v>
      </c>
      <c r="V208" s="366">
        <f>(102*'Emissions Factors'!$C$36*'Calcs - Power'!$B207+'Emissions Factors'!$C$35*('Calcs - Power'!$C207+'Calcs - Power'!$D207+'Calcs - Power'!$E207+'Calcs - Power'!$F207))</f>
        <v>8813762.7242643572</v>
      </c>
      <c r="W208" s="359">
        <f>(102*'Emissions Factors'!$D$36*'Calcs - Power'!$G207+'Emissions Factors'!$D$35*('Calcs - Power'!$H207+'Calcs - Power'!$I207+'Calcs - Power'!$J207+'Calcs - Power'!$K207))</f>
        <v>78447.130020844896</v>
      </c>
      <c r="X208" s="366">
        <f>(102*'Emissions Factors'!$D$36*'Calcs - Power'!$B207+'Emissions Factors'!$D$35*('Calcs - Power'!$C207+'Calcs - Power'!$D207+'Calcs - Power'!$E207+'Calcs - Power'!$F207))</f>
        <v>8813762.7242643572</v>
      </c>
      <c r="Y208" s="359">
        <f>(102*'Emissions Factors'!$C$38*'Calcs - Power'!$G207+'Emissions Factors'!$C$37*('Calcs - Power'!$H207+'Calcs - Power'!$I207+'Calcs - Power'!$J207+'Calcs - Power'!$K207))</f>
        <v>41803.516961228052</v>
      </c>
      <c r="Z208" s="366">
        <f>(102*'Emissions Factors'!$C$38*'Calcs - Power'!$B207+'Emissions Factors'!$C$37*('Calcs - Power'!$C207+'Calcs - Power'!$D207+'Calcs - Power'!$E207+'Calcs - Power'!$F207))</f>
        <v>4950704.4798411354</v>
      </c>
      <c r="AA208" s="359">
        <f>(102*'Emissions Factors'!$C$36*'Calcs - Power'!$G207+'Emissions Factors'!$C$35*('Calcs - Power'!$H207+'Calcs - Power'!$I207+'Calcs - Power'!$J207+'Calcs - Power'!$K207))</f>
        <v>78447.130020844896</v>
      </c>
      <c r="AB208" s="366">
        <f>(102*'Emissions Factors'!$C$36*'Calcs - Power'!$B207+'Emissions Factors'!$C$35*('Calcs - Power'!$C207+'Calcs - Power'!$D207+'Calcs - Power'!$E207+'Calcs - Power'!$F207))</f>
        <v>8813762.7242643572</v>
      </c>
      <c r="AI208" s="358">
        <f t="shared" si="42"/>
        <v>196</v>
      </c>
      <c r="AJ208" s="359">
        <f>(('Methane Leakage'!$G$6/'Methane Leakage'!$G$5)*102*'Emissions Factors'!$D$10*'Calcs - Power'!$G207+'Emissions Factors'!$D$11*('Calcs - Power'!$H207+'Calcs - Power'!$I207+'Calcs - Power'!$J207+'Calcs - Power'!$K207))</f>
        <v>5682.464167463042</v>
      </c>
      <c r="AK208" s="366">
        <f>(('Methane Leakage'!$G$6/'Methane Leakage'!$G$5)*102*'Emissions Factors'!$D$10*'Calcs - Power'!$B207+'Emissions Factors'!$D$11*('Calcs - Power'!$C207+'Calcs - Power'!$D207+'Calcs - Power'!$E207+'Calcs - Power'!$F207))</f>
        <v>686071.91439592279</v>
      </c>
      <c r="AL208" s="359">
        <f>(102*'Emissions Factors'!$E$10*'Calcs - Power'!$G207+'Emissions Factors'!$E$11*('Calcs - Power'!H207+'Calcs - Power'!I207+'Calcs - Power'!J207+'Calcs - Power'!K207))</f>
        <v>6971.4797000933049</v>
      </c>
      <c r="AM208" s="366">
        <f>(102*'Emissions Factors'!$E$10*'Calcs - Power'!$B207+'Emissions Factors'!$E$11*('Calcs - Power'!C207+'Calcs - Power'!D207+'Calcs - Power'!E207+'Calcs - Power'!F207))</f>
        <v>786492.52828918037</v>
      </c>
      <c r="AN208" s="359">
        <f>(102*'Emissions Factors'!$D$10*'Calcs - Power'!$G207+'Emissions Factors'!$D$11*('Calcs - Power'!$H207+'Calcs - Power'!$I207+'Calcs - Power'!$J207+'Calcs - Power'!$K207))</f>
        <v>5682.464167463042</v>
      </c>
      <c r="AO208" s="366">
        <f>(102*'Emissions Factors'!$D$10*'Calcs - Power'!$B207+'Emissions Factors'!$D$11*('Calcs - Power'!$C207+'Calcs - Power'!$D207+'Calcs - Power'!$E207+'Calcs - Power'!$F207))</f>
        <v>686071.91439592279</v>
      </c>
      <c r="AP208" s="367">
        <f>(102*'Emissions Factors'!$E$10*'Calcs - Power'!$G207+'Emissions Factors'!$E$11*('Calcs - Power'!H207+'Calcs - Power'!I207+'Calcs - Power'!J207+'Calcs - Power'!K207))</f>
        <v>6971.4797000933049</v>
      </c>
      <c r="AQ208" s="366">
        <f>(102*'Emissions Factors'!$E$10*'Calcs - Power'!$B207+'Emissions Factors'!$E$11*('Calcs - Power'!C207+'Calcs - Power'!D207+'Calcs - Power'!E207+'Calcs - Power'!F207))</f>
        <v>786492.52828918037</v>
      </c>
      <c r="AS208" s="357"/>
      <c r="AT208" s="357"/>
      <c r="AU208" s="357"/>
      <c r="AV208" s="357"/>
      <c r="AX208" s="358">
        <f t="shared" si="43"/>
        <v>196</v>
      </c>
      <c r="AY208" s="359">
        <f>(('Methane Leakage'!$G$6/'Methane Leakage'!$G$5)*102*'Emissions Factors'!$F$10*'Calcs - Power'!$G207+'Emissions Factors'!$F$11*('Calcs - Power'!$H207+'Calcs - Power'!$I207+'Calcs - Power'!$J207+'Calcs - Power'!$K207))</f>
        <v>7884374.6728452137</v>
      </c>
      <c r="AZ208" s="366">
        <f>(('Methane Leakage'!$G$6/'Methane Leakage'!$G$5)*102*'Emissions Factors'!$F$10*'Calcs - Power'!$B207+'Emissions Factors'!$F$11*('Calcs - Power'!$C207+'Calcs - Power'!$D207+'Calcs - Power'!$E207+'Calcs - Power'!$F207))</f>
        <v>932588333.50969744</v>
      </c>
      <c r="BA208" s="359">
        <f>(102*'Emissions Factors'!$G$10*'Calcs - Power'!$G207+'Emissions Factors'!$G$11*('Calcs - Power'!H207+'Calcs - Power'!I207+'Calcs - Power'!J207+'Calcs - Power'!K207))</f>
        <v>8060016.3596380865</v>
      </c>
      <c r="BB208" s="366">
        <f>(102*'Emissions Factors'!$G$10*'Calcs - Power'!$B207+'Emissions Factors'!$G$11*('Calcs - Power'!C207+'Calcs - Power'!D207+'Calcs - Power'!E207+'Calcs - Power'!F207))</f>
        <v>907335658.77749848</v>
      </c>
      <c r="BC208" s="359">
        <f>(102*'Emissions Factors'!$F$10*'Calcs - Power'!$G207+'Emissions Factors'!$F$11*('Calcs - Power'!$H207+'Calcs - Power'!$I207+'Calcs - Power'!$J207+'Calcs - Power'!$K207))</f>
        <v>7884374.6728452137</v>
      </c>
      <c r="BD208" s="366">
        <f>(102*'Emissions Factors'!$F$10*'Calcs - Power'!$B207+'Emissions Factors'!$F$11*('Calcs - Power'!$C207+'Calcs - Power'!$D207+'Calcs - Power'!$E207+'Calcs - Power'!$F207))</f>
        <v>932588333.50969744</v>
      </c>
      <c r="BE208" s="359">
        <f>(102*'Emissions Factors'!$G$10*'Calcs - Power'!$G207+'Emissions Factors'!$G$11*('Calcs - Power'!H207+'Calcs - Power'!I207+'Calcs - Power'!J207+'Calcs - Power'!K207))</f>
        <v>8060016.3596380865</v>
      </c>
      <c r="BF208" s="366">
        <f>(102*'Emissions Factors'!$G$10*'Calcs - Power'!$B207+'Emissions Factors'!$G$11*('Calcs - Power'!C207+'Calcs - Power'!D207+'Calcs - Power'!E207+'Calcs - Power'!F207))</f>
        <v>907335658.77749848</v>
      </c>
    </row>
    <row r="209" spans="1:58" x14ac:dyDescent="0.3">
      <c r="A209" s="351">
        <f t="shared" si="40"/>
        <v>197</v>
      </c>
      <c r="B209" s="352">
        <f t="shared" si="34"/>
        <v>1</v>
      </c>
      <c r="C209" s="363">
        <f t="shared" si="35"/>
        <v>0.99999999999999978</v>
      </c>
      <c r="D209" s="352">
        <f t="shared" si="36"/>
        <v>1</v>
      </c>
      <c r="E209" s="364">
        <f t="shared" si="37"/>
        <v>1</v>
      </c>
      <c r="F209" s="364">
        <f t="shared" si="38"/>
        <v>1</v>
      </c>
      <c r="G209" s="365">
        <f t="shared" si="39"/>
        <v>1</v>
      </c>
      <c r="P209" s="358">
        <f t="shared" si="41"/>
        <v>197</v>
      </c>
      <c r="Q209" s="359">
        <f>(('Methane Leakage'!$C$6/'Methane Leakage'!$C$5)*102*'Emissions Factors'!$C$38*'Calcs - Power'!$G208+'Emissions Factors'!$C$37*('Calcs - Power'!$H208+'Calcs - Power'!$I208+'Calcs - Power'!$J208+'Calcs - Power'!$K208))</f>
        <v>41946.420432345556</v>
      </c>
      <c r="R209" s="366">
        <f>(('Methane Leakage'!$C$6/'Methane Leakage'!$C$5)*102*'Emissions Factors'!$C$38*'Calcs - Power'!$B208+'Emissions Factors'!$C$37*('Calcs - Power'!$C208+'Calcs - Power'!$D208+'Calcs - Power'!$E208+'Calcs - Power'!$F208))</f>
        <v>4992579.4676315598</v>
      </c>
      <c r="S209" s="359">
        <f>(('Methane Leakage'!$C$6/'Methane Leakage'!$C$5)*102*'Emissions Factors'!$D$38*'Calcs - Power'!$G208+'Emissions Factors'!$D$37*('Calcs - Power'!$H208+'Calcs - Power'!$I208+'Calcs - Power'!$J208+'Calcs - Power'!$K208))</f>
        <v>41946.420432345556</v>
      </c>
      <c r="T209" s="366">
        <f>(('Methane Leakage'!$C$6/'Methane Leakage'!$C$5)*102*'Emissions Factors'!$D$38*'Calcs - Power'!$B208+'Emissions Factors'!$D$37*('Calcs - Power'!$C208+'Calcs - Power'!$D208+'Calcs - Power'!$E208+'Calcs - Power'!$F208))</f>
        <v>4992579.4676315598</v>
      </c>
      <c r="U209" s="361">
        <f>(102*'Emissions Factors'!$C$36*'Calcs - Power'!$G208+'Emissions Factors'!$C$35*('Calcs - Power'!$H208+'Calcs - Power'!$I208+'Calcs - Power'!$J208+'Calcs - Power'!$K208))</f>
        <v>78740.142911596369</v>
      </c>
      <c r="V209" s="366">
        <f>(102*'Emissions Factors'!$C$36*'Calcs - Power'!$B208+'Emissions Factors'!$C$35*('Calcs - Power'!$C208+'Calcs - Power'!$D208+'Calcs - Power'!$E208+'Calcs - Power'!$F208))</f>
        <v>8892356.3998803366</v>
      </c>
      <c r="W209" s="359">
        <f>(102*'Emissions Factors'!$D$36*'Calcs - Power'!$G208+'Emissions Factors'!$D$35*('Calcs - Power'!$H208+'Calcs - Power'!$I208+'Calcs - Power'!$J208+'Calcs - Power'!$K208))</f>
        <v>78740.142911596369</v>
      </c>
      <c r="X209" s="366">
        <f>(102*'Emissions Factors'!$D$36*'Calcs - Power'!$B208+'Emissions Factors'!$D$35*('Calcs - Power'!$C208+'Calcs - Power'!$D208+'Calcs - Power'!$E208+'Calcs - Power'!$F208))</f>
        <v>8892356.3998803366</v>
      </c>
      <c r="Y209" s="359">
        <f>(102*'Emissions Factors'!$C$38*'Calcs - Power'!$G208+'Emissions Factors'!$C$37*('Calcs - Power'!$H208+'Calcs - Power'!$I208+'Calcs - Power'!$J208+'Calcs - Power'!$K208))</f>
        <v>41946.420432345556</v>
      </c>
      <c r="Z209" s="366">
        <f>(102*'Emissions Factors'!$C$38*'Calcs - Power'!$B208+'Emissions Factors'!$C$37*('Calcs - Power'!$C208+'Calcs - Power'!$D208+'Calcs - Power'!$E208+'Calcs - Power'!$F208))</f>
        <v>4992579.4676315598</v>
      </c>
      <c r="AA209" s="359">
        <f>(102*'Emissions Factors'!$C$36*'Calcs - Power'!$G208+'Emissions Factors'!$C$35*('Calcs - Power'!$H208+'Calcs - Power'!$I208+'Calcs - Power'!$J208+'Calcs - Power'!$K208))</f>
        <v>78740.142911596369</v>
      </c>
      <c r="AB209" s="366">
        <f>(102*'Emissions Factors'!$C$36*'Calcs - Power'!$B208+'Emissions Factors'!$C$35*('Calcs - Power'!$C208+'Calcs - Power'!$D208+'Calcs - Power'!$E208+'Calcs - Power'!$F208))</f>
        <v>8892356.3998803366</v>
      </c>
      <c r="AI209" s="358">
        <f t="shared" si="42"/>
        <v>197</v>
      </c>
      <c r="AJ209" s="359">
        <f>(('Methane Leakage'!$G$6/'Methane Leakage'!$G$5)*102*'Emissions Factors'!$D$10*'Calcs - Power'!$G208+'Emissions Factors'!$D$11*('Calcs - Power'!$H208+'Calcs - Power'!$I208+'Calcs - Power'!$J208+'Calcs - Power'!$K208))</f>
        <v>5701.2059922605522</v>
      </c>
      <c r="AK209" s="366">
        <f>(('Methane Leakage'!$G$6/'Methane Leakage'!$G$5)*102*'Emissions Factors'!$D$10*'Calcs - Power'!$B208+'Emissions Factors'!$D$11*('Calcs - Power'!$C208+'Calcs - Power'!$D208+'Calcs - Power'!$E208+'Calcs - Power'!$F208))</f>
        <v>691763.75197992858</v>
      </c>
      <c r="AL209" s="359">
        <f>(102*'Emissions Factors'!$E$10*'Calcs - Power'!$G208+'Emissions Factors'!$E$11*('Calcs - Power'!H208+'Calcs - Power'!I208+'Calcs - Power'!J208+'Calcs - Power'!K208))</f>
        <v>6997.3511107859777</v>
      </c>
      <c r="AM209" s="366">
        <f>(102*'Emissions Factors'!$E$10*'Calcs - Power'!$B208+'Emissions Factors'!$E$11*('Calcs - Power'!C208+'Calcs - Power'!D208+'Calcs - Power'!E208+'Calcs - Power'!F208))</f>
        <v>793476.9471513282</v>
      </c>
      <c r="AN209" s="359">
        <f>(102*'Emissions Factors'!$D$10*'Calcs - Power'!$G208+'Emissions Factors'!$D$11*('Calcs - Power'!$H208+'Calcs - Power'!$I208+'Calcs - Power'!$J208+'Calcs - Power'!$K208))</f>
        <v>5701.2059922605522</v>
      </c>
      <c r="AO209" s="366">
        <f>(102*'Emissions Factors'!$D$10*'Calcs - Power'!$B208+'Emissions Factors'!$D$11*('Calcs - Power'!$C208+'Calcs - Power'!$D208+'Calcs - Power'!$E208+'Calcs - Power'!$F208))</f>
        <v>691763.75197992858</v>
      </c>
      <c r="AP209" s="367">
        <f>(102*'Emissions Factors'!$E$10*'Calcs - Power'!$G208+'Emissions Factors'!$E$11*('Calcs - Power'!H208+'Calcs - Power'!I208+'Calcs - Power'!J208+'Calcs - Power'!K208))</f>
        <v>6997.3511107859777</v>
      </c>
      <c r="AQ209" s="366">
        <f>(102*'Emissions Factors'!$E$10*'Calcs - Power'!$B208+'Emissions Factors'!$E$11*('Calcs - Power'!C208+'Calcs - Power'!D208+'Calcs - Power'!E208+'Calcs - Power'!F208))</f>
        <v>793476.9471513282</v>
      </c>
      <c r="AS209" s="357"/>
      <c r="AT209" s="357"/>
      <c r="AU209" s="357"/>
      <c r="AV209" s="357"/>
      <c r="AX209" s="358">
        <f t="shared" si="43"/>
        <v>197</v>
      </c>
      <c r="AY209" s="359">
        <f>(('Methane Leakage'!$G$6/'Methane Leakage'!$G$5)*102*'Emissions Factors'!$F$10*'Calcs - Power'!$G208+'Emissions Factors'!$F$11*('Calcs - Power'!$H208+'Calcs - Power'!$I208+'Calcs - Power'!$J208+'Calcs - Power'!$K208))</f>
        <v>7911386.5904656872</v>
      </c>
      <c r="AZ209" s="366">
        <f>(('Methane Leakage'!$G$6/'Methane Leakage'!$G$5)*102*'Emissions Factors'!$F$10*'Calcs - Power'!$B208+'Emissions Factors'!$F$11*('Calcs - Power'!$C208+'Calcs - Power'!$D208+'Calcs - Power'!$E208+'Calcs - Power'!$F208))</f>
        <v>940486217.75047207</v>
      </c>
      <c r="BA209" s="359">
        <f>(102*'Emissions Factors'!$G$10*'Calcs - Power'!$G208+'Emissions Factors'!$G$11*('Calcs - Power'!H208+'Calcs - Power'!I208+'Calcs - Power'!J208+'Calcs - Power'!K208))</f>
        <v>8090029.5969229825</v>
      </c>
      <c r="BB209" s="366">
        <f>(102*'Emissions Factors'!$G$10*'Calcs - Power'!$B208+'Emissions Factors'!$G$11*('Calcs - Power'!C208+'Calcs - Power'!D208+'Calcs - Power'!E208+'Calcs - Power'!F208))</f>
        <v>915410685.76587999</v>
      </c>
      <c r="BC209" s="359">
        <f>(102*'Emissions Factors'!$F$10*'Calcs - Power'!$G208+'Emissions Factors'!$F$11*('Calcs - Power'!$H208+'Calcs - Power'!$I208+'Calcs - Power'!$J208+'Calcs - Power'!$K208))</f>
        <v>7911386.5904656872</v>
      </c>
      <c r="BD209" s="366">
        <f>(102*'Emissions Factors'!$F$10*'Calcs - Power'!$B208+'Emissions Factors'!$F$11*('Calcs - Power'!$C208+'Calcs - Power'!$D208+'Calcs - Power'!$E208+'Calcs - Power'!$F208))</f>
        <v>940486217.75047207</v>
      </c>
      <c r="BE209" s="359">
        <f>(102*'Emissions Factors'!$G$10*'Calcs - Power'!$G208+'Emissions Factors'!$G$11*('Calcs - Power'!H208+'Calcs - Power'!I208+'Calcs - Power'!J208+'Calcs - Power'!K208))</f>
        <v>8090029.5969229825</v>
      </c>
      <c r="BF209" s="366">
        <f>(102*'Emissions Factors'!$G$10*'Calcs - Power'!$B208+'Emissions Factors'!$G$11*('Calcs - Power'!C208+'Calcs - Power'!D208+'Calcs - Power'!E208+'Calcs - Power'!F208))</f>
        <v>915410685.76587999</v>
      </c>
    </row>
    <row r="210" spans="1:58" x14ac:dyDescent="0.3">
      <c r="A210" s="351">
        <f t="shared" si="40"/>
        <v>198</v>
      </c>
      <c r="B210" s="352">
        <f t="shared" si="34"/>
        <v>1</v>
      </c>
      <c r="C210" s="363">
        <f t="shared" si="35"/>
        <v>1</v>
      </c>
      <c r="D210" s="352">
        <f t="shared" si="36"/>
        <v>1</v>
      </c>
      <c r="E210" s="364">
        <f t="shared" si="37"/>
        <v>1</v>
      </c>
      <c r="F210" s="364">
        <f t="shared" si="38"/>
        <v>1</v>
      </c>
      <c r="G210" s="365">
        <f t="shared" si="39"/>
        <v>1</v>
      </c>
      <c r="P210" s="358">
        <f t="shared" si="41"/>
        <v>198</v>
      </c>
      <c r="Q210" s="359">
        <f>(('Methane Leakage'!$C$6/'Methane Leakage'!$C$5)*102*'Emissions Factors'!$C$38*'Calcs - Power'!$G209+'Emissions Factors'!$C$37*('Calcs - Power'!$H209+'Calcs - Power'!$I209+'Calcs - Power'!$J209+'Calcs - Power'!$K209))</f>
        <v>42089.095446119703</v>
      </c>
      <c r="R210" s="366">
        <f>(('Methane Leakage'!$C$6/'Methane Leakage'!$C$5)*102*'Emissions Factors'!$C$38*'Calcs - Power'!$B209+'Emissions Factors'!$C$37*('Calcs - Power'!$C209+'Calcs - Power'!$D209+'Calcs - Power'!$E209+'Calcs - Power'!$F209))</f>
        <v>5034597.244553471</v>
      </c>
      <c r="S210" s="359">
        <f>(('Methane Leakage'!$C$6/'Methane Leakage'!$C$5)*102*'Emissions Factors'!$D$38*'Calcs - Power'!$G209+'Emissions Factors'!$D$37*('Calcs - Power'!$H209+'Calcs - Power'!$I209+'Calcs - Power'!$J209+'Calcs - Power'!$K209))</f>
        <v>42089.095446119703</v>
      </c>
      <c r="T210" s="366">
        <f>(('Methane Leakage'!$C$6/'Methane Leakage'!$C$5)*102*'Emissions Factors'!$D$38*'Calcs - Power'!$B209+'Emissions Factors'!$D$37*('Calcs - Power'!$C209+'Calcs - Power'!$D209+'Calcs - Power'!$E209+'Calcs - Power'!$F209))</f>
        <v>5034597.244553471</v>
      </c>
      <c r="U210" s="361">
        <f>(102*'Emissions Factors'!$C$36*'Calcs - Power'!$G209+'Emissions Factors'!$C$35*('Calcs - Power'!$H209+'Calcs - Power'!$I209+'Calcs - Power'!$J209+'Calcs - Power'!$K209))</f>
        <v>79032.68737130567</v>
      </c>
      <c r="V210" s="366">
        <f>(102*'Emissions Factors'!$C$36*'Calcs - Power'!$B209+'Emissions Factors'!$C$35*('Calcs - Power'!$C209+'Calcs - Power'!$D209+'Calcs - Power'!$E209+'Calcs - Power'!$F209))</f>
        <v>8971242.8539440595</v>
      </c>
      <c r="W210" s="359">
        <f>(102*'Emissions Factors'!$D$36*'Calcs - Power'!$G209+'Emissions Factors'!$D$35*('Calcs - Power'!$H209+'Calcs - Power'!$I209+'Calcs - Power'!$J209+'Calcs - Power'!$K209))</f>
        <v>79032.68737130567</v>
      </c>
      <c r="X210" s="366">
        <f>(102*'Emissions Factors'!$D$36*'Calcs - Power'!$B209+'Emissions Factors'!$D$35*('Calcs - Power'!$C209+'Calcs - Power'!$D209+'Calcs - Power'!$E209+'Calcs - Power'!$F209))</f>
        <v>8971242.8539440595</v>
      </c>
      <c r="Y210" s="359">
        <f>(102*'Emissions Factors'!$C$38*'Calcs - Power'!$G209+'Emissions Factors'!$C$37*('Calcs - Power'!$H209+'Calcs - Power'!$I209+'Calcs - Power'!$J209+'Calcs - Power'!$K209))</f>
        <v>42089.095446119703</v>
      </c>
      <c r="Z210" s="366">
        <f>(102*'Emissions Factors'!$C$38*'Calcs - Power'!$B209+'Emissions Factors'!$C$37*('Calcs - Power'!$C209+'Calcs - Power'!$D209+'Calcs - Power'!$E209+'Calcs - Power'!$F209))</f>
        <v>5034597.244553471</v>
      </c>
      <c r="AA210" s="359">
        <f>(102*'Emissions Factors'!$C$36*'Calcs - Power'!$G209+'Emissions Factors'!$C$35*('Calcs - Power'!$H209+'Calcs - Power'!$I209+'Calcs - Power'!$J209+'Calcs - Power'!$K209))</f>
        <v>79032.68737130567</v>
      </c>
      <c r="AB210" s="366">
        <f>(102*'Emissions Factors'!$C$36*'Calcs - Power'!$B209+'Emissions Factors'!$C$35*('Calcs - Power'!$C209+'Calcs - Power'!$D209+'Calcs - Power'!$E209+'Calcs - Power'!$F209))</f>
        <v>8971242.8539440595</v>
      </c>
      <c r="AI210" s="358">
        <f t="shared" si="42"/>
        <v>198</v>
      </c>
      <c r="AJ210" s="359">
        <f>(('Methane Leakage'!$G$6/'Methane Leakage'!$G$5)*102*'Emissions Factors'!$D$10*'Calcs - Power'!$G209+'Emissions Factors'!$D$11*('Calcs - Power'!$H209+'Calcs - Power'!$I209+'Calcs - Power'!$J209+'Calcs - Power'!$K209))</f>
        <v>5719.9178547212323</v>
      </c>
      <c r="AK210" s="366">
        <f>(('Methane Leakage'!$G$6/'Methane Leakage'!$G$5)*102*'Emissions Factors'!$D$10*'Calcs - Power'!$B209+'Emissions Factors'!$D$11*('Calcs - Power'!$C209+'Calcs - Power'!$D209+'Calcs - Power'!$E209+'Calcs - Power'!$F209))</f>
        <v>697474.31639301055</v>
      </c>
      <c r="AL210" s="359">
        <f>(102*'Emissions Factors'!$E$10*'Calcs - Power'!$G209+'Emissions Factors'!$E$11*('Calcs - Power'!H209+'Calcs - Power'!I209+'Calcs - Power'!J209+'Calcs - Power'!K209))</f>
        <v>7023.1811615968109</v>
      </c>
      <c r="AM210" s="366">
        <f>(102*'Emissions Factors'!$E$10*'Calcs - Power'!$B209+'Emissions Factors'!$E$11*('Calcs - Power'!C209+'Calcs - Power'!D209+'Calcs - Power'!E209+'Calcs - Power'!F209))</f>
        <v>800487.21672414185</v>
      </c>
      <c r="AN210" s="359">
        <f>(102*'Emissions Factors'!$D$10*'Calcs - Power'!$G209+'Emissions Factors'!$D$11*('Calcs - Power'!$H209+'Calcs - Power'!$I209+'Calcs - Power'!$J209+'Calcs - Power'!$K209))</f>
        <v>5719.9178547212323</v>
      </c>
      <c r="AO210" s="366">
        <f>(102*'Emissions Factors'!$D$10*'Calcs - Power'!$B209+'Emissions Factors'!$D$11*('Calcs - Power'!$C209+'Calcs - Power'!$D209+'Calcs - Power'!$E209+'Calcs - Power'!$F209))</f>
        <v>697474.31639301055</v>
      </c>
      <c r="AP210" s="367">
        <f>(102*'Emissions Factors'!$E$10*'Calcs - Power'!$G209+'Emissions Factors'!$E$11*('Calcs - Power'!H209+'Calcs - Power'!I209+'Calcs - Power'!J209+'Calcs - Power'!K209))</f>
        <v>7023.1811615968109</v>
      </c>
      <c r="AQ210" s="366">
        <f>(102*'Emissions Factors'!$E$10*'Calcs - Power'!$B209+'Emissions Factors'!$E$11*('Calcs - Power'!C209+'Calcs - Power'!D209+'Calcs - Power'!E209+'Calcs - Power'!F209))</f>
        <v>800487.21672414185</v>
      </c>
      <c r="AS210" s="357"/>
      <c r="AT210" s="357"/>
      <c r="AU210" s="357"/>
      <c r="AV210" s="357"/>
      <c r="AX210" s="358">
        <f t="shared" si="43"/>
        <v>198</v>
      </c>
      <c r="AY210" s="359">
        <f>(('Methane Leakage'!$G$6/'Methane Leakage'!$G$5)*102*'Emissions Factors'!$F$10*'Calcs - Power'!$G209+'Emissions Factors'!$F$11*('Calcs - Power'!$H209+'Calcs - Power'!$I209+'Calcs - Power'!$J209+'Calcs - Power'!$K209))</f>
        <v>7938355.3246027026</v>
      </c>
      <c r="AZ210" s="366">
        <f>(('Methane Leakage'!$G$6/'Methane Leakage'!$G$5)*102*'Emissions Factors'!$F$10*'Calcs - Power'!$B209+'Emissions Factors'!$F$11*('Calcs - Power'!$C209+'Calcs - Power'!$D209+'Calcs - Power'!$E209+'Calcs - Power'!$F209))</f>
        <v>948411092.29615176</v>
      </c>
      <c r="BA210" s="359">
        <f>(102*'Emissions Factors'!$G$10*'Calcs - Power'!$G209+'Emissions Factors'!$G$11*('Calcs - Power'!H209+'Calcs - Power'!I209+'Calcs - Power'!J209+'Calcs - Power'!K209))</f>
        <v>8119994.8529206393</v>
      </c>
      <c r="BB210" s="366">
        <f>(102*'Emissions Factors'!$G$10*'Calcs - Power'!$B209+'Emissions Factors'!$G$11*('Calcs - Power'!C209+'Calcs - Power'!D209+'Calcs - Power'!E209+'Calcs - Power'!F209))</f>
        <v>923515701.97760141</v>
      </c>
      <c r="BC210" s="359">
        <f>(102*'Emissions Factors'!$F$10*'Calcs - Power'!$G209+'Emissions Factors'!$F$11*('Calcs - Power'!$H209+'Calcs - Power'!$I209+'Calcs - Power'!$J209+'Calcs - Power'!$K209))</f>
        <v>7938355.3246027026</v>
      </c>
      <c r="BD210" s="366">
        <f>(102*'Emissions Factors'!$F$10*'Calcs - Power'!$B209+'Emissions Factors'!$F$11*('Calcs - Power'!$C209+'Calcs - Power'!$D209+'Calcs - Power'!$E209+'Calcs - Power'!$F209))</f>
        <v>948411092.29615176</v>
      </c>
      <c r="BE210" s="359">
        <f>(102*'Emissions Factors'!$G$10*'Calcs - Power'!$G209+'Emissions Factors'!$G$11*('Calcs - Power'!H209+'Calcs - Power'!I209+'Calcs - Power'!J209+'Calcs - Power'!K209))</f>
        <v>8119994.8529206393</v>
      </c>
      <c r="BF210" s="366">
        <f>(102*'Emissions Factors'!$G$10*'Calcs - Power'!$B209+'Emissions Factors'!$G$11*('Calcs - Power'!C209+'Calcs - Power'!D209+'Calcs - Power'!E209+'Calcs - Power'!F209))</f>
        <v>923515701.97760141</v>
      </c>
    </row>
    <row r="211" spans="1:58" x14ac:dyDescent="0.3">
      <c r="A211" s="351">
        <f t="shared" si="40"/>
        <v>199</v>
      </c>
      <c r="B211" s="352">
        <f t="shared" si="34"/>
        <v>0.99999999999999989</v>
      </c>
      <c r="C211" s="363">
        <f t="shared" si="35"/>
        <v>1</v>
      </c>
      <c r="D211" s="352">
        <f t="shared" si="36"/>
        <v>1</v>
      </c>
      <c r="E211" s="364">
        <f t="shared" si="37"/>
        <v>1</v>
      </c>
      <c r="F211" s="364">
        <f t="shared" si="38"/>
        <v>1</v>
      </c>
      <c r="G211" s="365">
        <f t="shared" si="39"/>
        <v>1</v>
      </c>
      <c r="P211" s="358">
        <f t="shared" si="41"/>
        <v>199</v>
      </c>
      <c r="Q211" s="359">
        <f>(('Methane Leakage'!$C$6/'Methane Leakage'!$C$5)*102*'Emissions Factors'!$C$38*'Calcs - Power'!$G210+'Emissions Factors'!$C$37*('Calcs - Power'!$H210+'Calcs - Power'!$I210+'Calcs - Power'!$J210+'Calcs - Power'!$K210))</f>
        <v>42231.543329936612</v>
      </c>
      <c r="R211" s="366">
        <f>(('Methane Leakage'!$C$6/'Methane Leakage'!$C$5)*102*'Emissions Factors'!$C$38*'Calcs - Power'!$B210+'Emissions Factors'!$C$37*('Calcs - Power'!$C210+'Calcs - Power'!$D210+'Calcs - Power'!$E210+'Calcs - Power'!$F210))</f>
        <v>5076757.5828139046</v>
      </c>
      <c r="S211" s="359">
        <f>(('Methane Leakage'!$C$6/'Methane Leakage'!$C$5)*102*'Emissions Factors'!$D$38*'Calcs - Power'!$G210+'Emissions Factors'!$D$37*('Calcs - Power'!$H210+'Calcs - Power'!$I210+'Calcs - Power'!$J210+'Calcs - Power'!$K210))</f>
        <v>42231.543329936612</v>
      </c>
      <c r="T211" s="366">
        <f>(('Methane Leakage'!$C$6/'Methane Leakage'!$C$5)*102*'Emissions Factors'!$D$38*'Calcs - Power'!$B210+'Emissions Factors'!$D$37*('Calcs - Power'!$C210+'Calcs - Power'!$D210+'Calcs - Power'!$E210+'Calcs - Power'!$F210))</f>
        <v>5076757.5828139046</v>
      </c>
      <c r="U211" s="361">
        <f>(102*'Emissions Factors'!$C$36*'Calcs - Power'!$G210+'Emissions Factors'!$C$35*('Calcs - Power'!$H210+'Calcs - Power'!$I210+'Calcs - Power'!$J210+'Calcs - Power'!$K210))</f>
        <v>79324.76612137974</v>
      </c>
      <c r="V211" s="366">
        <f>(102*'Emissions Factors'!$C$36*'Calcs - Power'!$B210+'Emissions Factors'!$C$35*('Calcs - Power'!$C210+'Calcs - Power'!$D210+'Calcs - Power'!$E210+'Calcs - Power'!$F210))</f>
        <v>9050421.6193865892</v>
      </c>
      <c r="W211" s="359">
        <f>(102*'Emissions Factors'!$D$36*'Calcs - Power'!$G210+'Emissions Factors'!$D$35*('Calcs - Power'!$H210+'Calcs - Power'!$I210+'Calcs - Power'!$J210+'Calcs - Power'!$K210))</f>
        <v>79324.76612137974</v>
      </c>
      <c r="X211" s="366">
        <f>(102*'Emissions Factors'!$D$36*'Calcs - Power'!$B210+'Emissions Factors'!$D$35*('Calcs - Power'!$C210+'Calcs - Power'!$D210+'Calcs - Power'!$E210+'Calcs - Power'!$F210))</f>
        <v>9050421.6193865892</v>
      </c>
      <c r="Y211" s="359">
        <f>(102*'Emissions Factors'!$C$38*'Calcs - Power'!$G210+'Emissions Factors'!$C$37*('Calcs - Power'!$H210+'Calcs - Power'!$I210+'Calcs - Power'!$J210+'Calcs - Power'!$K210))</f>
        <v>42231.543329936612</v>
      </c>
      <c r="Z211" s="366">
        <f>(102*'Emissions Factors'!$C$38*'Calcs - Power'!$B210+'Emissions Factors'!$C$37*('Calcs - Power'!$C210+'Calcs - Power'!$D210+'Calcs - Power'!$E210+'Calcs - Power'!$F210))</f>
        <v>5076757.5828139046</v>
      </c>
      <c r="AA211" s="359">
        <f>(102*'Emissions Factors'!$C$36*'Calcs - Power'!$G210+'Emissions Factors'!$C$35*('Calcs - Power'!$H210+'Calcs - Power'!$I210+'Calcs - Power'!$J210+'Calcs - Power'!$K210))</f>
        <v>79324.76612137974</v>
      </c>
      <c r="AB211" s="366">
        <f>(102*'Emissions Factors'!$C$36*'Calcs - Power'!$B210+'Emissions Factors'!$C$35*('Calcs - Power'!$C210+'Calcs - Power'!$D210+'Calcs - Power'!$E210+'Calcs - Power'!$F210))</f>
        <v>9050421.6193865892</v>
      </c>
      <c r="AI211" s="358">
        <f t="shared" si="42"/>
        <v>199</v>
      </c>
      <c r="AJ211" s="359">
        <f>(('Methane Leakage'!$G$6/'Methane Leakage'!$G$5)*102*'Emissions Factors'!$D$10*'Calcs - Power'!$G210+'Emissions Factors'!$D$11*('Calcs - Power'!$H210+'Calcs - Power'!$I210+'Calcs - Power'!$J210+'Calcs - Power'!$K210))</f>
        <v>5738.5999289403189</v>
      </c>
      <c r="AK211" s="366">
        <f>(('Methane Leakage'!$G$6/'Methane Leakage'!$G$5)*102*'Emissions Factors'!$D$10*'Calcs - Power'!$B210+'Emissions Factors'!$D$11*('Calcs - Power'!$C210+'Calcs - Power'!$D210+'Calcs - Power'!$E210+'Calcs - Power'!$F210))</f>
        <v>703203.57775996905</v>
      </c>
      <c r="AL211" s="359">
        <f>(102*'Emissions Factors'!$E$10*'Calcs - Power'!$G210+'Emissions Factors'!$E$11*('Calcs - Power'!H210+'Calcs - Power'!I210+'Calcs - Power'!J210+'Calcs - Power'!K210))</f>
        <v>7048.9700928127731</v>
      </c>
      <c r="AM211" s="366">
        <f>(102*'Emissions Factors'!$E$10*'Calcs - Power'!$B210+'Emissions Factors'!$E$11*('Calcs - Power'!C210+'Calcs - Power'!D210+'Calcs - Power'!E210+'Calcs - Power'!F210))</f>
        <v>807523.2957680067</v>
      </c>
      <c r="AN211" s="359">
        <f>(102*'Emissions Factors'!$D$10*'Calcs - Power'!$G210+'Emissions Factors'!$D$11*('Calcs - Power'!$H210+'Calcs - Power'!$I210+'Calcs - Power'!$J210+'Calcs - Power'!$K210))</f>
        <v>5738.5999289403189</v>
      </c>
      <c r="AO211" s="366">
        <f>(102*'Emissions Factors'!$D$10*'Calcs - Power'!$B210+'Emissions Factors'!$D$11*('Calcs - Power'!$C210+'Calcs - Power'!$D210+'Calcs - Power'!$E210+'Calcs - Power'!$F210))</f>
        <v>703203.57775996905</v>
      </c>
      <c r="AP211" s="367">
        <f>(102*'Emissions Factors'!$E$10*'Calcs - Power'!$G210+'Emissions Factors'!$E$11*('Calcs - Power'!H210+'Calcs - Power'!I210+'Calcs - Power'!J210+'Calcs - Power'!K210))</f>
        <v>7048.9700928127731</v>
      </c>
      <c r="AQ211" s="366">
        <f>(102*'Emissions Factors'!$E$10*'Calcs - Power'!$B210+'Emissions Factors'!$E$11*('Calcs - Power'!C210+'Calcs - Power'!D210+'Calcs - Power'!E210+'Calcs - Power'!F210))</f>
        <v>807523.2957680067</v>
      </c>
      <c r="AS211" s="357"/>
      <c r="AT211" s="357"/>
      <c r="AU211" s="357"/>
      <c r="AV211" s="357"/>
      <c r="AX211" s="358">
        <f t="shared" si="43"/>
        <v>199</v>
      </c>
      <c r="AY211" s="359">
        <f>(('Methane Leakage'!$G$6/'Methane Leakage'!$G$5)*102*'Emissions Factors'!$F$10*'Calcs - Power'!$G210+'Emissions Factors'!$F$11*('Calcs - Power'!$H210+'Calcs - Power'!$I210+'Calcs - Power'!$J210+'Calcs - Power'!$K210))</f>
        <v>7965281.1261608824</v>
      </c>
      <c r="AZ211" s="366">
        <f>(('Methane Leakage'!$G$6/'Methane Leakage'!$G$5)*102*'Emissions Factors'!$F$10*'Calcs - Power'!$B210+'Emissions Factors'!$F$11*('Calcs - Power'!$C210+'Calcs - Power'!$D210+'Calcs - Power'!$E210+'Calcs - Power'!$F210))</f>
        <v>956362914.08883488</v>
      </c>
      <c r="BA211" s="359">
        <f>(102*'Emissions Factors'!$G$10*'Calcs - Power'!$G210+'Emissions Factors'!$G$11*('Calcs - Power'!H210+'Calcs - Power'!I210+'Calcs - Power'!J210+'Calcs - Power'!K210))</f>
        <v>8149912.4063851079</v>
      </c>
      <c r="BB211" s="366">
        <f>(102*'Emissions Factors'!$G$10*'Calcs - Power'!$B210+'Emissions Factors'!$G$11*('Calcs - Power'!C210+'Calcs - Power'!D210+'Calcs - Power'!E210+'Calcs - Power'!F210))</f>
        <v>931650659.57089603</v>
      </c>
      <c r="BC211" s="359">
        <f>(102*'Emissions Factors'!$F$10*'Calcs - Power'!$G210+'Emissions Factors'!$F$11*('Calcs - Power'!$H210+'Calcs - Power'!$I210+'Calcs - Power'!$J210+'Calcs - Power'!$K210))</f>
        <v>7965281.1261608824</v>
      </c>
      <c r="BD211" s="366">
        <f>(102*'Emissions Factors'!$F$10*'Calcs - Power'!$B210+'Emissions Factors'!$F$11*('Calcs - Power'!$C210+'Calcs - Power'!$D210+'Calcs - Power'!$E210+'Calcs - Power'!$F210))</f>
        <v>956362914.08883488</v>
      </c>
      <c r="BE211" s="359">
        <f>(102*'Emissions Factors'!$G$10*'Calcs - Power'!$G210+'Emissions Factors'!$G$11*('Calcs - Power'!H210+'Calcs - Power'!I210+'Calcs - Power'!J210+'Calcs - Power'!K210))</f>
        <v>8149912.4063851079</v>
      </c>
      <c r="BF211" s="366">
        <f>(102*'Emissions Factors'!$G$10*'Calcs - Power'!$B210+'Emissions Factors'!$G$11*('Calcs - Power'!C210+'Calcs - Power'!D210+'Calcs - Power'!E210+'Calcs - Power'!F210))</f>
        <v>931650659.57089603</v>
      </c>
    </row>
    <row r="212" spans="1:58" ht="14.4" thickBot="1" x14ac:dyDescent="0.35">
      <c r="A212" s="349">
        <f t="shared" si="40"/>
        <v>200</v>
      </c>
      <c r="B212" s="370">
        <f t="shared" si="34"/>
        <v>0.99999999999999989</v>
      </c>
      <c r="C212" s="371">
        <f t="shared" si="35"/>
        <v>0.99999999999999978</v>
      </c>
      <c r="D212" s="370">
        <f t="shared" si="36"/>
        <v>1</v>
      </c>
      <c r="E212" s="372">
        <f t="shared" si="37"/>
        <v>1</v>
      </c>
      <c r="F212" s="373">
        <f t="shared" si="38"/>
        <v>1</v>
      </c>
      <c r="G212" s="374">
        <f t="shared" si="39"/>
        <v>1</v>
      </c>
      <c r="P212" s="375">
        <f t="shared" si="41"/>
        <v>200</v>
      </c>
      <c r="Q212" s="376">
        <f>(('Methane Leakage'!$C$6/'Methane Leakage'!$C$5)*102*'Emissions Factors'!$C$38*'Calcs - Power'!$G211+'Emissions Factors'!$C$37*('Calcs - Power'!$H211+'Calcs - Power'!$I211+'Calcs - Power'!$J211+'Calcs - Power'!$K211))</f>
        <v>42373.765403003898</v>
      </c>
      <c r="R212" s="377">
        <f>(('Methane Leakage'!$C$6/'Methane Leakage'!$C$5)*102*'Emissions Factors'!$C$38*'Calcs - Power'!$B211+'Emissions Factors'!$C$37*('Calcs - Power'!$C211+'Calcs - Power'!$D211+'Calcs - Power'!$E211+'Calcs - Power'!$F211))</f>
        <v>5119060.2559431838</v>
      </c>
      <c r="S212" s="376">
        <f>(('Methane Leakage'!$C$6/'Methane Leakage'!$C$5)*102*'Emissions Factors'!$D$38*'Calcs - Power'!$G211+'Emissions Factors'!$D$37*('Calcs - Power'!$H211+'Calcs - Power'!$I211+'Calcs - Power'!$J211+'Calcs - Power'!$K211))</f>
        <v>42373.765403003898</v>
      </c>
      <c r="T212" s="377">
        <f>(('Methane Leakage'!$C$6/'Methane Leakage'!$C$5)*102*'Emissions Factors'!$D$38*'Calcs - Power'!$B211+'Emissions Factors'!$D$37*('Calcs - Power'!$C211+'Calcs - Power'!$D211+'Calcs - Power'!$E211+'Calcs - Power'!$F211))</f>
        <v>5119060.2559431838</v>
      </c>
      <c r="U212" s="376">
        <f>(102*'Emissions Factors'!$C$36*'Calcs - Power'!$G211+'Emissions Factors'!$C$35*('Calcs - Power'!$H211+'Calcs - Power'!$I211+'Calcs - Power'!$J211+'Calcs - Power'!$K211))</f>
        <v>79616.381866480078</v>
      </c>
      <c r="V212" s="377">
        <f>(102*'Emissions Factors'!$C$36*'Calcs - Power'!$B211+'Emissions Factors'!$C$35*('Calcs - Power'!$C211+'Calcs - Power'!$D211+'Calcs - Power'!$E211+'Calcs - Power'!$F211))</f>
        <v>9129892.2318520099</v>
      </c>
      <c r="W212" s="376">
        <f>(102*'Emissions Factors'!$D$36*'Calcs - Power'!$G211+'Emissions Factors'!$D$35*('Calcs - Power'!$H211+'Calcs - Power'!$I211+'Calcs - Power'!$J211+'Calcs - Power'!$K211))</f>
        <v>79616.381866480078</v>
      </c>
      <c r="X212" s="377">
        <f>(102*'Emissions Factors'!$D$36*'Calcs - Power'!$B211+'Emissions Factors'!$D$35*('Calcs - Power'!$C211+'Calcs - Power'!$D211+'Calcs - Power'!$E211+'Calcs - Power'!$F211))</f>
        <v>9129892.2318520099</v>
      </c>
      <c r="Y212" s="376">
        <f>(102*'Emissions Factors'!$C$38*'Calcs - Power'!$G211+'Emissions Factors'!$C$37*('Calcs - Power'!$H211+'Calcs - Power'!$I211+'Calcs - Power'!$J211+'Calcs - Power'!$K211))</f>
        <v>42373.765403003898</v>
      </c>
      <c r="Z212" s="377">
        <f>(102*'Emissions Factors'!$C$38*'Calcs - Power'!$B211+'Emissions Factors'!$C$37*('Calcs - Power'!$C211+'Calcs - Power'!$D211+'Calcs - Power'!$E211+'Calcs - Power'!$F211))</f>
        <v>5119060.2559431838</v>
      </c>
      <c r="AA212" s="376">
        <f>(102*'Emissions Factors'!$C$36*'Calcs - Power'!$G211+'Emissions Factors'!$C$35*('Calcs - Power'!$H211+'Calcs - Power'!$I211+'Calcs - Power'!$J211+'Calcs - Power'!$K211))</f>
        <v>79616.381866480078</v>
      </c>
      <c r="AB212" s="377">
        <f>(102*'Emissions Factors'!$C$36*'Calcs - Power'!$B211+'Emissions Factors'!$C$35*('Calcs - Power'!$C211+'Calcs - Power'!$D211+'Calcs - Power'!$E211+'Calcs - Power'!$F211))</f>
        <v>9129892.2318520099</v>
      </c>
      <c r="AI212" s="375">
        <f t="shared" si="42"/>
        <v>200</v>
      </c>
      <c r="AJ212" s="376">
        <f>(('Methane Leakage'!$G$6/'Methane Leakage'!$G$5)*102*'Emissions Factors'!$D$10*'Calcs - Power'!$G211+'Emissions Factors'!$D$11*('Calcs - Power'!$H211+'Calcs - Power'!$I211+'Calcs - Power'!$J211+'Calcs - Power'!$K211))</f>
        <v>5757.2523879397831</v>
      </c>
      <c r="AK212" s="377">
        <f>(('Methane Leakage'!$G$6/'Methane Leakage'!$G$5)*102*'Emissions Factors'!$D$10*'Calcs - Power'!$B211+'Emissions Factors'!$D$11*('Calcs - Power'!$C211+'Calcs - Power'!$D211+'Calcs - Power'!$E211+'Calcs - Power'!$F211))</f>
        <v>708951.50637916289</v>
      </c>
      <c r="AL212" s="376">
        <f>(102*'Emissions Factors'!$E$10*'Calcs - Power'!$G211+'Emissions Factors'!$E$11*('Calcs - Power'!H211+'Calcs - Power'!I211+'Calcs - Power'!J211+'Calcs - Power'!K211))</f>
        <v>7074.7181432421567</v>
      </c>
      <c r="AM212" s="377">
        <f>(102*'Emissions Factors'!$E$10*'Calcs - Power'!$B211+'Emissions Factors'!$E$11*('Calcs - Power'!C211+'Calcs - Power'!D211+'Calcs - Power'!E211+'Calcs - Power'!F211))</f>
        <v>814585.1432828547</v>
      </c>
      <c r="AN212" s="376">
        <f>(102*'Emissions Factors'!$D$10*'Calcs - Power'!$G211+'Emissions Factors'!$D$11*('Calcs - Power'!$H211+'Calcs - Power'!$I211+'Calcs - Power'!$J211+'Calcs - Power'!$K211))</f>
        <v>5757.2523879397831</v>
      </c>
      <c r="AO212" s="377">
        <f>(102*'Emissions Factors'!$D$10*'Calcs - Power'!$B211+'Emissions Factors'!$D$11*('Calcs - Power'!$C211+'Calcs - Power'!$D211+'Calcs - Power'!$E211+'Calcs - Power'!$F211))</f>
        <v>708951.50637916289</v>
      </c>
      <c r="AP212" s="378">
        <f>(102*'Emissions Factors'!$E$10*'Calcs - Power'!$G211+'Emissions Factors'!$E$11*('Calcs - Power'!H211+'Calcs - Power'!I211+'Calcs - Power'!J211+'Calcs - Power'!K211))</f>
        <v>7074.7181432421567</v>
      </c>
      <c r="AQ212" s="377">
        <f>(102*'Emissions Factors'!$E$10*'Calcs - Power'!$B211+'Emissions Factors'!$E$11*('Calcs - Power'!C211+'Calcs - Power'!D211+'Calcs - Power'!E211+'Calcs - Power'!F211))</f>
        <v>814585.1432828547</v>
      </c>
      <c r="AS212" s="357"/>
      <c r="AT212" s="357"/>
      <c r="AU212" s="357"/>
      <c r="AV212" s="357"/>
      <c r="AX212" s="375">
        <f t="shared" si="43"/>
        <v>200</v>
      </c>
      <c r="AY212" s="376">
        <f>(('Methane Leakage'!$G$6/'Methane Leakage'!$G$5)*102*'Emissions Factors'!$F$10*'Calcs - Power'!$G211+'Emissions Factors'!$F$11*('Calcs - Power'!$H211+'Calcs - Power'!$I211+'Calcs - Power'!$J211+'Calcs - Power'!$K211))</f>
        <v>7992164.2444989961</v>
      </c>
      <c r="AZ212" s="377">
        <f>(('Methane Leakage'!$G$6/'Methane Leakage'!$G$5)*102*'Emissions Factors'!$F$10*'Calcs - Power'!$B211+'Emissions Factors'!$F$11*('Calcs - Power'!$C211+'Calcs - Power'!$D211+'Calcs - Power'!$E211+'Calcs - Power'!$F211))</f>
        <v>964341640.32075047</v>
      </c>
      <c r="BA212" s="376">
        <f>(102*'Emissions Factors'!$G$10*'Calcs - Power'!$G211+'Emissions Factors'!$G$11*('Calcs - Power'!H211+'Calcs - Power'!I211+'Calcs - Power'!J211+'Calcs - Power'!K211))</f>
        <v>8179782.5343551245</v>
      </c>
      <c r="BB212" s="377">
        <f>(102*'Emissions Factors'!$G$10*'Calcs - Power'!$B211+'Emissions Factors'!$G$11*('Calcs - Power'!C211+'Calcs - Power'!D211+'Calcs - Power'!E211+'Calcs - Power'!F211))</f>
        <v>939815510.98189223</v>
      </c>
      <c r="BC212" s="376">
        <f>(102*'Emissions Factors'!$F$10*'Calcs - Power'!$G211+'Emissions Factors'!$F$11*('Calcs - Power'!$H211+'Calcs - Power'!$I211+'Calcs - Power'!$J211+'Calcs - Power'!$K211))</f>
        <v>7992164.2444989961</v>
      </c>
      <c r="BD212" s="377">
        <f>(102*'Emissions Factors'!$F$10*'Calcs - Power'!$B211+'Emissions Factors'!$F$11*('Calcs - Power'!$C211+'Calcs - Power'!$D211+'Calcs - Power'!$E211+'Calcs - Power'!$F211))</f>
        <v>964341640.32075047</v>
      </c>
      <c r="BE212" s="376">
        <f>(102*'Emissions Factors'!$G$10*'Calcs - Power'!$G211+'Emissions Factors'!$G$11*('Calcs - Power'!H211+'Calcs - Power'!I211+'Calcs - Power'!J211+'Calcs - Power'!K211))</f>
        <v>8179782.5343551245</v>
      </c>
      <c r="BF212" s="377">
        <f>(102*'Emissions Factors'!$G$10*'Calcs - Power'!$B211+'Emissions Factors'!$G$11*('Calcs - Power'!C211+'Calcs - Power'!D211+'Calcs - Power'!E211+'Calcs - Power'!F211))</f>
        <v>939815510.98189223</v>
      </c>
    </row>
    <row r="213" spans="1:58" x14ac:dyDescent="0.3">
      <c r="F213" s="379"/>
    </row>
    <row r="214" spans="1:58" x14ac:dyDescent="0.3">
      <c r="F214" s="379"/>
    </row>
    <row r="215" spans="1:58" x14ac:dyDescent="0.3">
      <c r="F215" s="379"/>
    </row>
    <row r="218" spans="1:58" x14ac:dyDescent="0.3">
      <c r="AC218" s="339"/>
      <c r="AD218" s="338"/>
      <c r="AE218" s="338"/>
      <c r="AF218" s="338"/>
      <c r="AG218" s="338"/>
      <c r="AH218" s="339"/>
      <c r="AI218" s="338"/>
      <c r="AJ218" s="339"/>
      <c r="AK218" s="339"/>
      <c r="AL218" s="339"/>
    </row>
    <row r="219" spans="1:58" x14ac:dyDescent="0.3">
      <c r="B219" s="339"/>
      <c r="C219" s="380"/>
      <c r="D219" s="339"/>
      <c r="E219" s="339"/>
      <c r="F219" s="339"/>
      <c r="G219" s="339"/>
      <c r="H219" s="339"/>
      <c r="I219" s="338"/>
      <c r="J219" s="338"/>
      <c r="K219" s="338"/>
      <c r="L219" s="338"/>
      <c r="M219" s="338"/>
      <c r="N219" s="338"/>
      <c r="O219" s="339"/>
      <c r="P219" s="338"/>
      <c r="Q219" s="339"/>
      <c r="R219" s="339"/>
      <c r="S219" s="339"/>
      <c r="T219" s="339"/>
      <c r="AC219" s="339"/>
      <c r="AD219" s="338"/>
      <c r="AE219" s="338"/>
      <c r="AF219" s="338"/>
      <c r="AG219" s="338"/>
      <c r="AH219" s="339"/>
      <c r="AI219" s="338"/>
      <c r="AJ219" s="339"/>
      <c r="AK219" s="339"/>
      <c r="AL219" s="339"/>
    </row>
    <row r="220" spans="1:58" x14ac:dyDescent="0.3">
      <c r="B220" s="339"/>
      <c r="C220" s="339"/>
      <c r="D220" s="339"/>
      <c r="E220" s="339"/>
      <c r="F220" s="339"/>
      <c r="G220" s="339"/>
      <c r="H220" s="339"/>
      <c r="I220" s="338"/>
      <c r="J220" s="338"/>
      <c r="K220" s="338"/>
      <c r="L220" s="338"/>
      <c r="M220" s="338"/>
      <c r="N220" s="338"/>
      <c r="O220" s="339"/>
      <c r="P220" s="338"/>
      <c r="Q220" s="339"/>
      <c r="R220" s="339"/>
      <c r="S220" s="339"/>
      <c r="T220" s="339"/>
      <c r="AC220" s="339"/>
      <c r="AD220" s="338"/>
      <c r="AE220" s="338"/>
      <c r="AF220" s="338"/>
      <c r="AG220" s="338"/>
      <c r="AH220" s="339"/>
      <c r="AI220" s="338"/>
      <c r="AJ220" s="339"/>
      <c r="AK220" s="339"/>
      <c r="AL220" s="339"/>
    </row>
    <row r="221" spans="1:58" x14ac:dyDescent="0.3">
      <c r="B221" s="339"/>
      <c r="C221" s="381"/>
      <c r="D221" s="339"/>
      <c r="E221" s="381"/>
      <c r="F221" s="339"/>
      <c r="G221" s="338"/>
      <c r="H221" s="338"/>
      <c r="I221" s="338"/>
      <c r="J221" s="338"/>
      <c r="K221" s="338"/>
      <c r="L221" s="338"/>
      <c r="M221" s="338"/>
      <c r="N221" s="338"/>
      <c r="O221" s="339"/>
      <c r="P221" s="338"/>
      <c r="Q221" s="339"/>
      <c r="R221" s="339"/>
      <c r="S221" s="339"/>
      <c r="T221" s="339"/>
      <c r="AC221" s="339"/>
      <c r="AD221" s="338"/>
      <c r="AE221" s="338"/>
      <c r="AF221" s="338"/>
      <c r="AG221" s="338"/>
      <c r="AH221" s="339"/>
      <c r="AI221" s="338"/>
      <c r="AJ221" s="339"/>
      <c r="AK221" s="339"/>
      <c r="AL221" s="339"/>
    </row>
    <row r="222" spans="1:58" ht="15.75" customHeight="1" thickBot="1" x14ac:dyDescent="0.35">
      <c r="A222" s="297"/>
      <c r="B222" s="658" t="s">
        <v>70</v>
      </c>
      <c r="C222" s="658"/>
      <c r="D222" s="297"/>
      <c r="E222" s="297"/>
      <c r="I222" s="382"/>
      <c r="J222" s="382"/>
      <c r="K222" s="383"/>
      <c r="L222" s="382"/>
      <c r="M222" s="382"/>
      <c r="N222" s="382"/>
      <c r="O222" s="339"/>
      <c r="P222" s="338"/>
      <c r="Q222" s="339"/>
      <c r="R222" s="339"/>
      <c r="S222" s="339"/>
      <c r="T222" s="339"/>
      <c r="AC222" s="339"/>
      <c r="AD222" s="382"/>
      <c r="AE222" s="383"/>
      <c r="AF222" s="382"/>
      <c r="AG222" s="382"/>
      <c r="AH222" s="339"/>
      <c r="AI222" s="338"/>
      <c r="AJ222" s="339"/>
      <c r="AK222" s="339"/>
      <c r="AL222" s="339"/>
    </row>
    <row r="223" spans="1:58" ht="22.5" customHeight="1" thickBot="1" x14ac:dyDescent="0.35">
      <c r="A223" s="297"/>
      <c r="B223" s="659"/>
      <c r="C223" s="659"/>
      <c r="D223" s="384" t="s">
        <v>56</v>
      </c>
      <c r="E223" s="384" t="s">
        <v>57</v>
      </c>
      <c r="F223" s="384" t="s">
        <v>58</v>
      </c>
      <c r="G223" s="385" t="s">
        <v>59</v>
      </c>
      <c r="I223" s="338"/>
      <c r="J223" s="338"/>
      <c r="K223" s="338"/>
      <c r="L223" s="338"/>
      <c r="M223" s="338"/>
      <c r="N223" s="338"/>
      <c r="O223" s="339"/>
      <c r="P223" s="338"/>
      <c r="Q223" s="339"/>
      <c r="R223" s="339"/>
      <c r="S223" s="339"/>
      <c r="T223" s="339"/>
      <c r="AC223" s="339"/>
      <c r="AD223" s="338"/>
      <c r="AE223" s="338"/>
      <c r="AF223" s="338"/>
      <c r="AG223" s="338"/>
      <c r="AH223" s="339"/>
      <c r="AI223" s="338"/>
      <c r="AJ223" s="339"/>
      <c r="AK223" s="339"/>
      <c r="AL223" s="339"/>
    </row>
    <row r="224" spans="1:58" ht="22.5" customHeight="1" x14ac:dyDescent="0.3">
      <c r="A224" s="297"/>
      <c r="B224" s="653" t="s">
        <v>60</v>
      </c>
      <c r="C224" s="386" t="s">
        <v>54</v>
      </c>
      <c r="D224" s="387">
        <f>'TPWP Scenario Outputs'!$B$27-1</f>
        <v>0</v>
      </c>
      <c r="E224" s="387">
        <f>'TPWP Scenario Outputs'!$B$32-1</f>
        <v>0</v>
      </c>
      <c r="F224" s="387">
        <f>'TPWP Scenario Outputs'!$B$62-1</f>
        <v>0</v>
      </c>
      <c r="G224" s="387">
        <f>'TPWP Scenario Outputs'!$B$112-1</f>
        <v>0</v>
      </c>
      <c r="I224" s="338"/>
      <c r="J224" s="338"/>
      <c r="K224" s="338"/>
      <c r="L224" s="338"/>
      <c r="M224" s="338"/>
      <c r="N224" s="338"/>
      <c r="O224" s="339"/>
      <c r="P224" s="338"/>
      <c r="Q224" s="339"/>
      <c r="R224" s="339"/>
      <c r="S224" s="339"/>
      <c r="T224" s="339"/>
      <c r="AC224" s="339"/>
      <c r="AD224" s="338"/>
      <c r="AE224" s="338"/>
      <c r="AF224" s="338"/>
      <c r="AG224" s="338"/>
      <c r="AH224" s="339"/>
      <c r="AI224" s="338"/>
      <c r="AJ224" s="339"/>
      <c r="AK224" s="339"/>
      <c r="AL224" s="339"/>
    </row>
    <row r="225" spans="1:38" ht="22.5" customHeight="1" thickBot="1" x14ac:dyDescent="0.35">
      <c r="A225" s="297"/>
      <c r="B225" s="654"/>
      <c r="C225" s="388" t="s">
        <v>55</v>
      </c>
      <c r="D225" s="389">
        <f>'TPWP Scenario Outputs'!$C$27-1</f>
        <v>0</v>
      </c>
      <c r="E225" s="390">
        <f>'TPWP Scenario Outputs'!$C$32-1</f>
        <v>0</v>
      </c>
      <c r="F225" s="390">
        <f>'TPWP Scenario Outputs'!$C$62-1</f>
        <v>0</v>
      </c>
      <c r="G225" s="390">
        <f>'TPWP Scenario Outputs'!$C$112-1</f>
        <v>0</v>
      </c>
      <c r="I225" s="338"/>
      <c r="J225" s="338"/>
      <c r="K225" s="338"/>
      <c r="L225" s="338"/>
      <c r="M225" s="338"/>
      <c r="N225" s="338"/>
      <c r="O225" s="339"/>
      <c r="P225" s="338"/>
      <c r="Q225" s="339"/>
      <c r="R225" s="339"/>
      <c r="S225" s="339"/>
      <c r="T225" s="339"/>
      <c r="AC225" s="339"/>
      <c r="AD225" s="338"/>
      <c r="AE225" s="338"/>
      <c r="AF225" s="338"/>
      <c r="AG225" s="338"/>
      <c r="AH225" s="339"/>
      <c r="AI225" s="338"/>
      <c r="AJ225" s="339"/>
      <c r="AK225" s="339"/>
      <c r="AL225" s="339"/>
    </row>
    <row r="226" spans="1:38" ht="22.5" customHeight="1" x14ac:dyDescent="0.3">
      <c r="A226" s="297"/>
      <c r="B226" s="653" t="s">
        <v>52</v>
      </c>
      <c r="C226" s="386" t="s">
        <v>54</v>
      </c>
      <c r="D226" s="387">
        <f>'TPWP Scenario Outputs'!$D$27-1</f>
        <v>0</v>
      </c>
      <c r="E226" s="387">
        <f>'TPWP Scenario Outputs'!$D$32-1</f>
        <v>0</v>
      </c>
      <c r="F226" s="387">
        <f>'TPWP Scenario Outputs'!$D$62-1</f>
        <v>0</v>
      </c>
      <c r="G226" s="387">
        <f>'TPWP Scenario Outputs'!$D$112-1</f>
        <v>0</v>
      </c>
      <c r="I226" s="338"/>
      <c r="J226" s="338"/>
      <c r="K226" s="338"/>
      <c r="L226" s="338"/>
      <c r="M226" s="338"/>
      <c r="N226" s="338"/>
      <c r="O226" s="339"/>
      <c r="P226" s="338"/>
      <c r="Q226" s="339"/>
      <c r="R226" s="339"/>
      <c r="S226" s="339"/>
      <c r="T226" s="339"/>
      <c r="AC226" s="339"/>
      <c r="AD226" s="338"/>
      <c r="AE226" s="338"/>
      <c r="AF226" s="338"/>
      <c r="AG226" s="338"/>
      <c r="AH226" s="339"/>
      <c r="AI226" s="338"/>
      <c r="AJ226" s="339"/>
      <c r="AK226" s="339"/>
      <c r="AL226" s="339"/>
    </row>
    <row r="227" spans="1:38" ht="22.5" customHeight="1" thickBot="1" x14ac:dyDescent="0.35">
      <c r="A227" s="297"/>
      <c r="B227" s="654"/>
      <c r="C227" s="388" t="s">
        <v>55</v>
      </c>
      <c r="D227" s="390">
        <f>'TPWP Scenario Outputs'!$E$27-1</f>
        <v>0</v>
      </c>
      <c r="E227" s="390">
        <f>'TPWP Scenario Outputs'!$E$32-1</f>
        <v>0</v>
      </c>
      <c r="F227" s="390">
        <f>'TPWP Scenario Outputs'!$E$62-1</f>
        <v>0</v>
      </c>
      <c r="G227" s="390">
        <f>'TPWP Scenario Outputs'!$E$112-1</f>
        <v>0</v>
      </c>
      <c r="I227" s="338"/>
      <c r="J227" s="338"/>
      <c r="K227" s="338"/>
      <c r="L227" s="338"/>
      <c r="M227" s="338"/>
      <c r="N227" s="338"/>
      <c r="O227" s="339"/>
      <c r="P227" s="338"/>
      <c r="Q227" s="339"/>
      <c r="R227" s="339"/>
      <c r="S227" s="339"/>
      <c r="T227" s="339"/>
      <c r="AC227" s="339"/>
      <c r="AD227" s="338"/>
      <c r="AE227" s="338"/>
      <c r="AF227" s="338"/>
      <c r="AG227" s="338"/>
      <c r="AH227" s="339"/>
      <c r="AI227" s="338"/>
      <c r="AJ227" s="339"/>
      <c r="AK227" s="339"/>
      <c r="AL227" s="339"/>
    </row>
    <row r="228" spans="1:38" ht="22.5" customHeight="1" x14ac:dyDescent="0.3">
      <c r="A228" s="297"/>
      <c r="B228" s="653" t="s">
        <v>53</v>
      </c>
      <c r="C228" s="386" t="s">
        <v>54</v>
      </c>
      <c r="D228" s="391">
        <f>'TPWP Scenario Outputs'!$F$27-1</f>
        <v>0</v>
      </c>
      <c r="E228" s="391">
        <f>'TPWP Scenario Outputs'!$F$32-1</f>
        <v>0</v>
      </c>
      <c r="F228" s="391">
        <f>'TPWP Scenario Outputs'!$F$62-1</f>
        <v>0</v>
      </c>
      <c r="G228" s="391">
        <f>'TPWP Scenario Outputs'!$F$112-1</f>
        <v>0</v>
      </c>
      <c r="I228" s="338"/>
      <c r="J228" s="338"/>
      <c r="K228" s="338"/>
      <c r="L228" s="338"/>
      <c r="M228" s="338"/>
      <c r="N228" s="338"/>
      <c r="O228" s="339"/>
      <c r="P228" s="338"/>
      <c r="Q228" s="339"/>
      <c r="R228" s="339"/>
      <c r="S228" s="339"/>
      <c r="T228" s="339"/>
      <c r="AC228" s="339"/>
      <c r="AD228" s="338"/>
      <c r="AE228" s="338"/>
      <c r="AF228" s="338"/>
      <c r="AG228" s="338"/>
      <c r="AH228" s="339"/>
      <c r="AI228" s="338"/>
      <c r="AJ228" s="339"/>
      <c r="AK228" s="339"/>
      <c r="AL228" s="339"/>
    </row>
    <row r="229" spans="1:38" ht="22.5" customHeight="1" thickBot="1" x14ac:dyDescent="0.35">
      <c r="A229" s="297"/>
      <c r="B229" s="654"/>
      <c r="C229" s="388" t="s">
        <v>55</v>
      </c>
      <c r="D229" s="389">
        <f>'TPWP Scenario Outputs'!$G$27-1</f>
        <v>0</v>
      </c>
      <c r="E229" s="389">
        <f>'TPWP Scenario Outputs'!$G$32-1</f>
        <v>0</v>
      </c>
      <c r="F229" s="389">
        <f>'TPWP Scenario Outputs'!$G$62-1</f>
        <v>0</v>
      </c>
      <c r="G229" s="389">
        <f>'TPWP Scenario Outputs'!$G$112-1</f>
        <v>0</v>
      </c>
      <c r="I229" s="338"/>
      <c r="J229" s="338"/>
      <c r="K229" s="338"/>
      <c r="L229" s="338"/>
      <c r="M229" s="338"/>
      <c r="N229" s="338"/>
      <c r="O229" s="339"/>
      <c r="P229" s="338"/>
      <c r="Q229" s="339"/>
      <c r="R229" s="339"/>
      <c r="S229" s="339"/>
      <c r="T229" s="339"/>
      <c r="AC229" s="339"/>
      <c r="AD229" s="338"/>
      <c r="AE229" s="338"/>
      <c r="AF229" s="338"/>
      <c r="AG229" s="338"/>
      <c r="AH229" s="339"/>
      <c r="AI229" s="338"/>
      <c r="AJ229" s="339"/>
      <c r="AK229" s="339"/>
      <c r="AL229" s="339"/>
    </row>
    <row r="230" spans="1:38" ht="22.5" customHeight="1" x14ac:dyDescent="0.3">
      <c r="A230" s="297"/>
      <c r="C230" s="297"/>
      <c r="D230" s="297"/>
      <c r="E230" s="297"/>
      <c r="I230" s="338"/>
      <c r="J230" s="338"/>
      <c r="K230" s="338"/>
      <c r="L230" s="338"/>
      <c r="M230" s="338"/>
      <c r="N230" s="338"/>
      <c r="O230" s="339"/>
      <c r="P230" s="338"/>
      <c r="Q230" s="339"/>
      <c r="R230" s="339"/>
      <c r="S230" s="339"/>
      <c r="T230" s="339"/>
      <c r="AC230" s="339"/>
      <c r="AD230" s="338"/>
      <c r="AE230" s="338"/>
      <c r="AF230" s="338"/>
      <c r="AG230" s="338"/>
      <c r="AH230" s="339"/>
      <c r="AI230" s="338"/>
      <c r="AJ230" s="339"/>
      <c r="AK230" s="339"/>
      <c r="AL230" s="339"/>
    </row>
    <row r="231" spans="1:38" ht="22.5" customHeight="1" thickBot="1" x14ac:dyDescent="0.35">
      <c r="A231" s="392"/>
      <c r="B231" s="325" t="s">
        <v>97</v>
      </c>
      <c r="C231" s="393"/>
      <c r="D231" s="393"/>
      <c r="E231" s="394"/>
      <c r="F231" s="393"/>
      <c r="G231" s="393"/>
      <c r="H231" s="393"/>
      <c r="I231" s="338"/>
      <c r="J231" s="338"/>
      <c r="K231" s="338"/>
      <c r="L231" s="338"/>
      <c r="M231" s="338"/>
      <c r="N231" s="338"/>
      <c r="O231" s="339"/>
      <c r="P231" s="338"/>
      <c r="Q231" s="339"/>
      <c r="R231" s="339"/>
      <c r="S231" s="339"/>
      <c r="T231" s="339"/>
      <c r="AC231" s="339"/>
      <c r="AD231" s="338"/>
      <c r="AE231" s="338"/>
      <c r="AF231" s="338"/>
      <c r="AG231" s="338"/>
      <c r="AH231" s="339"/>
      <c r="AI231" s="338"/>
      <c r="AJ231" s="339"/>
      <c r="AK231" s="339"/>
      <c r="AL231" s="339"/>
    </row>
    <row r="232" spans="1:38" ht="22.5" customHeight="1" thickBot="1" x14ac:dyDescent="0.35">
      <c r="A232" s="297"/>
      <c r="B232" s="395"/>
      <c r="C232" s="655" t="s">
        <v>94</v>
      </c>
      <c r="D232" s="656"/>
      <c r="E232" s="656"/>
      <c r="F232" s="657"/>
      <c r="I232" s="338"/>
      <c r="J232" s="338"/>
      <c r="K232" s="338"/>
      <c r="L232" s="338"/>
      <c r="M232" s="338"/>
      <c r="N232" s="338"/>
      <c r="O232" s="339"/>
      <c r="P232" s="338"/>
      <c r="Q232" s="339"/>
      <c r="R232" s="339"/>
      <c r="S232" s="339"/>
      <c r="T232" s="339"/>
      <c r="AC232" s="339"/>
      <c r="AD232" s="338"/>
      <c r="AE232" s="338"/>
      <c r="AF232" s="338"/>
      <c r="AG232" s="338"/>
      <c r="AH232" s="339"/>
      <c r="AI232" s="338"/>
      <c r="AJ232" s="339"/>
      <c r="AK232" s="339"/>
      <c r="AL232" s="339"/>
    </row>
    <row r="233" spans="1:38" ht="22.5" customHeight="1" thickBot="1" x14ac:dyDescent="0.35">
      <c r="B233" s="395"/>
      <c r="C233" s="384" t="s">
        <v>56</v>
      </c>
      <c r="D233" s="384" t="s">
        <v>57</v>
      </c>
      <c r="E233" s="384" t="s">
        <v>58</v>
      </c>
      <c r="F233" s="385" t="s">
        <v>59</v>
      </c>
      <c r="G233" s="357"/>
      <c r="H233" s="357"/>
    </row>
    <row r="234" spans="1:38" ht="22.5" customHeight="1" x14ac:dyDescent="0.3">
      <c r="B234" s="396" t="s">
        <v>44</v>
      </c>
      <c r="C234" s="387">
        <f>D224*'2010 Baseline Data'!$B$7</f>
        <v>0</v>
      </c>
      <c r="D234" s="387">
        <f>E224*'2010 Baseline Data'!$B$7</f>
        <v>0</v>
      </c>
      <c r="E234" s="387">
        <f>F224*'2010 Baseline Data'!$B$7</f>
        <v>0</v>
      </c>
      <c r="F234" s="387">
        <f>G224*'2010 Baseline Data'!$B$7</f>
        <v>0</v>
      </c>
      <c r="G234" s="357"/>
      <c r="H234" s="357"/>
    </row>
    <row r="235" spans="1:38" ht="22.5" customHeight="1" x14ac:dyDescent="0.3">
      <c r="B235" s="397" t="s">
        <v>52</v>
      </c>
      <c r="C235" s="398">
        <f>D226*'2010 Baseline Data'!$B$11</f>
        <v>0</v>
      </c>
      <c r="D235" s="398">
        <f>E226*'2010 Baseline Data'!$B$11</f>
        <v>0</v>
      </c>
      <c r="E235" s="398">
        <f>F226*'2010 Baseline Data'!$B$11</f>
        <v>0</v>
      </c>
      <c r="F235" s="398">
        <f>G226*'2010 Baseline Data'!$B$11</f>
        <v>0</v>
      </c>
      <c r="G235" s="357"/>
      <c r="H235" s="357"/>
    </row>
    <row r="236" spans="1:38" ht="22.5" customHeight="1" x14ac:dyDescent="0.3">
      <c r="A236" s="297"/>
      <c r="B236" s="397" t="s">
        <v>53</v>
      </c>
      <c r="C236" s="398">
        <f>D228*'2010 Baseline Data'!$B$13</f>
        <v>0</v>
      </c>
      <c r="D236" s="398">
        <f>E228*'2010 Baseline Data'!$B$13</f>
        <v>0</v>
      </c>
      <c r="E236" s="398">
        <f>F228*'2010 Baseline Data'!$B$13</f>
        <v>0</v>
      </c>
      <c r="F236" s="398">
        <f>G228*'2010 Baseline Data'!$B$13</f>
        <v>0</v>
      </c>
    </row>
    <row r="237" spans="1:38" ht="22.5" customHeight="1" thickBot="1" x14ac:dyDescent="0.35">
      <c r="A237" s="297"/>
      <c r="B237" s="399" t="s">
        <v>73</v>
      </c>
      <c r="C237" s="389">
        <f>'Final Outputs'!H20</f>
        <v>0</v>
      </c>
      <c r="D237" s="389">
        <f>'Final Outputs'!H25</f>
        <v>0</v>
      </c>
      <c r="E237" s="389">
        <f>'Final Outputs'!H55</f>
        <v>0</v>
      </c>
      <c r="F237" s="389">
        <f>'Final Outputs'!H105</f>
        <v>0</v>
      </c>
    </row>
    <row r="238" spans="1:38" ht="22.5" customHeight="1" thickBot="1" x14ac:dyDescent="0.35">
      <c r="A238" s="297"/>
      <c r="B238" s="400" t="s">
        <v>61</v>
      </c>
      <c r="C238" s="401">
        <f>SUM(C234:C237)</f>
        <v>0</v>
      </c>
      <c r="D238" s="401">
        <f>SUM(D234:D237)</f>
        <v>0</v>
      </c>
      <c r="E238" s="401">
        <f>SUM(E234:E237)</f>
        <v>0</v>
      </c>
      <c r="F238" s="401">
        <f>SUM(F234:F237)</f>
        <v>0</v>
      </c>
    </row>
    <row r="239" spans="1:38" x14ac:dyDescent="0.3">
      <c r="A239" s="297"/>
      <c r="B239" s="297"/>
      <c r="C239" s="297"/>
      <c r="D239" s="297"/>
      <c r="E239" s="297"/>
    </row>
  </sheetData>
  <sheetProtection password="B467" sheet="1" objects="1" scenarios="1"/>
  <mergeCells count="32">
    <mergeCell ref="B224:B225"/>
    <mergeCell ref="B226:B227"/>
    <mergeCell ref="B228:B229"/>
    <mergeCell ref="C232:F232"/>
    <mergeCell ref="B222:C223"/>
    <mergeCell ref="AS1:AV1"/>
    <mergeCell ref="AX1:BF1"/>
    <mergeCell ref="AX2:AX3"/>
    <mergeCell ref="AY2:AZ2"/>
    <mergeCell ref="BA2:BB2"/>
    <mergeCell ref="BC2:BD2"/>
    <mergeCell ref="BE2:BF2"/>
    <mergeCell ref="U2:V2"/>
    <mergeCell ref="W2:X2"/>
    <mergeCell ref="Y2:Z2"/>
    <mergeCell ref="AA2:AB2"/>
    <mergeCell ref="A1:G1"/>
    <mergeCell ref="I1:N1"/>
    <mergeCell ref="P2:P3"/>
    <mergeCell ref="P1:AB1"/>
    <mergeCell ref="A2:A3"/>
    <mergeCell ref="B2:C2"/>
    <mergeCell ref="D2:G2"/>
    <mergeCell ref="Q2:R2"/>
    <mergeCell ref="S2:T2"/>
    <mergeCell ref="AD1:AG1"/>
    <mergeCell ref="AI1:AQ1"/>
    <mergeCell ref="AI2:AI3"/>
    <mergeCell ref="AJ2:AK2"/>
    <mergeCell ref="AL2:AM2"/>
    <mergeCell ref="AN2:AO2"/>
    <mergeCell ref="AP2:AQ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8193" r:id="rId3">
          <objectPr defaultSize="0" autoPict="0" r:id="rId4">
            <anchor moveWithCells="1">
              <from>
                <xdr:col>7</xdr:col>
                <xdr:colOff>83820</xdr:colOff>
                <xdr:row>10</xdr:row>
                <xdr:rowOff>114300</xdr:rowOff>
              </from>
              <to>
                <xdr:col>14</xdr:col>
                <xdr:colOff>533400</xdr:colOff>
                <xdr:row>15</xdr:row>
                <xdr:rowOff>106680</xdr:rowOff>
              </to>
            </anchor>
          </objectPr>
        </oleObject>
      </mc:Choice>
      <mc:Fallback>
        <oleObject progId="Equation.3" shapeId="8193" r:id="rId3"/>
      </mc:Fallback>
    </mc:AlternateContent>
    <mc:AlternateContent xmlns:mc="http://schemas.openxmlformats.org/markup-compatibility/2006">
      <mc:Choice Requires="x14">
        <oleObject progId="Equation.3" shapeId="8195" r:id="rId5">
          <objectPr defaultSize="0" autoPict="0" r:id="rId6">
            <anchor moveWithCells="1">
              <from>
                <xdr:col>28</xdr:col>
                <xdr:colOff>160020</xdr:colOff>
                <xdr:row>10</xdr:row>
                <xdr:rowOff>99060</xdr:rowOff>
              </from>
              <to>
                <xdr:col>33</xdr:col>
                <xdr:colOff>472440</xdr:colOff>
                <xdr:row>16</xdr:row>
                <xdr:rowOff>45720</xdr:rowOff>
              </to>
            </anchor>
          </objectPr>
        </oleObject>
      </mc:Choice>
      <mc:Fallback>
        <oleObject progId="Equation.3" shapeId="8195" r:id="rId5"/>
      </mc:Fallback>
    </mc:AlternateContent>
    <mc:AlternateContent xmlns:mc="http://schemas.openxmlformats.org/markup-compatibility/2006">
      <mc:Choice Requires="x14">
        <oleObject progId="Equation.3" shapeId="8196" r:id="rId7">
          <objectPr defaultSize="0" autoPict="0" r:id="rId8">
            <anchor moveWithCells="1">
              <from>
                <xdr:col>43</xdr:col>
                <xdr:colOff>160020</xdr:colOff>
                <xdr:row>9</xdr:row>
                <xdr:rowOff>99060</xdr:rowOff>
              </from>
              <to>
                <xdr:col>48</xdr:col>
                <xdr:colOff>335280</xdr:colOff>
                <xdr:row>15</xdr:row>
                <xdr:rowOff>45720</xdr:rowOff>
              </to>
            </anchor>
          </objectPr>
        </oleObject>
      </mc:Choice>
      <mc:Fallback>
        <oleObject progId="Equation.3" shapeId="8196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H171"/>
  <sheetViews>
    <sheetView workbookViewId="0">
      <selection activeCell="F22" sqref="F22"/>
    </sheetView>
  </sheetViews>
  <sheetFormatPr defaultColWidth="9" defaultRowHeight="13.8" x14ac:dyDescent="0.3"/>
  <cols>
    <col min="1" max="1" width="4.08984375" style="297" customWidth="1"/>
    <col min="2" max="2" width="11.08984375" style="297" customWidth="1"/>
    <col min="3" max="4" width="14.26953125" style="297" customWidth="1"/>
    <col min="5" max="5" width="15.7265625" style="297" customWidth="1"/>
    <col min="6" max="6" width="12" style="297" customWidth="1"/>
    <col min="7" max="16384" width="9" style="297"/>
  </cols>
  <sheetData>
    <row r="1" spans="1:8" ht="14.4" thickBot="1" x14ac:dyDescent="0.35">
      <c r="A1" s="339"/>
    </row>
    <row r="2" spans="1:8" s="402" customFormat="1" ht="15.75" customHeight="1" x14ac:dyDescent="0.2">
      <c r="A2" s="426"/>
      <c r="B2" s="266" t="s">
        <v>362</v>
      </c>
      <c r="C2" s="267"/>
      <c r="D2" s="267"/>
      <c r="E2" s="267"/>
      <c r="F2" s="267"/>
      <c r="G2" s="268">
        <v>225.7</v>
      </c>
      <c r="H2" s="269" t="s">
        <v>95</v>
      </c>
    </row>
    <row r="3" spans="1:8" s="402" customFormat="1" ht="16.5" customHeight="1" thickBot="1" x14ac:dyDescent="0.25">
      <c r="A3" s="427"/>
      <c r="B3" s="270" t="s">
        <v>126</v>
      </c>
      <c r="C3" s="271"/>
      <c r="D3" s="271"/>
      <c r="E3" s="271"/>
      <c r="F3" s="271"/>
      <c r="G3" s="272">
        <v>2.4E-2</v>
      </c>
      <c r="H3" s="273"/>
    </row>
    <row r="4" spans="1:8" x14ac:dyDescent="0.3">
      <c r="A4" s="339"/>
    </row>
    <row r="5" spans="1:8" x14ac:dyDescent="0.3">
      <c r="B5" s="325" t="s">
        <v>104</v>
      </c>
    </row>
    <row r="6" spans="1:8" ht="14.4" thickBot="1" x14ac:dyDescent="0.35"/>
    <row r="7" spans="1:8" ht="14.25" customHeight="1" x14ac:dyDescent="0.3">
      <c r="B7" s="403" t="s">
        <v>363</v>
      </c>
      <c r="C7" s="404"/>
      <c r="D7" s="405"/>
      <c r="E7" s="406">
        <f>G2/21</f>
        <v>10.747619047619047</v>
      </c>
      <c r="G7" s="407"/>
    </row>
    <row r="8" spans="1:8" ht="14.25" customHeight="1" x14ac:dyDescent="0.3">
      <c r="B8" s="408" t="s">
        <v>105</v>
      </c>
      <c r="C8" s="409"/>
      <c r="D8" s="410"/>
      <c r="E8" s="411">
        <f>E7*(('Methane Leakage'!C5+'Methane Leakage'!D5)/G3)</f>
        <v>10.299801587301586</v>
      </c>
    </row>
    <row r="9" spans="1:8" ht="14.25" customHeight="1" thickBot="1" x14ac:dyDescent="0.35">
      <c r="B9" s="412" t="s">
        <v>106</v>
      </c>
      <c r="C9" s="413"/>
      <c r="D9" s="414"/>
      <c r="E9" s="415">
        <f>E8*(('Methane Leakage'!C6+'Methane Leakage'!D6)/('Methane Leakage'!C5+'Methane Leakage'!D5))</f>
        <v>10.299801587301586</v>
      </c>
    </row>
    <row r="12" spans="1:8" ht="13.5" customHeight="1" x14ac:dyDescent="0.3">
      <c r="B12" s="325" t="s">
        <v>107</v>
      </c>
      <c r="G12" s="325"/>
    </row>
    <row r="13" spans="1:8" ht="14.25" customHeight="1" thickBot="1" x14ac:dyDescent="0.35">
      <c r="G13" s="416"/>
    </row>
    <row r="14" spans="1:8" ht="33" customHeight="1" x14ac:dyDescent="0.3">
      <c r="B14" s="417" t="s">
        <v>46</v>
      </c>
      <c r="C14" s="418">
        <f>E8*'2010 Baseline Data'!$L$22</f>
        <v>6.7990099658530498</v>
      </c>
    </row>
    <row r="15" spans="1:8" ht="33" customHeight="1" x14ac:dyDescent="0.3">
      <c r="B15" s="419" t="s">
        <v>45</v>
      </c>
      <c r="C15" s="420">
        <f>E9*'2010 Baseline Data'!$L$22</f>
        <v>6.7990099658530498</v>
      </c>
    </row>
    <row r="16" spans="1:8" ht="33.75" customHeight="1" thickBot="1" x14ac:dyDescent="0.35">
      <c r="B16" s="274" t="s">
        <v>108</v>
      </c>
      <c r="C16" s="275">
        <f>(C14-C15)*-1</f>
        <v>0</v>
      </c>
    </row>
    <row r="21" spans="2:4" x14ac:dyDescent="0.3">
      <c r="B21" s="421" t="s">
        <v>71</v>
      </c>
      <c r="C21" s="421" t="s">
        <v>72</v>
      </c>
      <c r="D21" s="428" t="s">
        <v>82</v>
      </c>
    </row>
    <row r="22" spans="2:4" x14ac:dyDescent="0.3">
      <c r="B22" s="422">
        <v>1</v>
      </c>
      <c r="C22" s="423">
        <v>104.94605835588825</v>
      </c>
      <c r="D22" s="429">
        <f t="shared" ref="D22:D53" si="0">$C$16*C22</f>
        <v>0</v>
      </c>
    </row>
    <row r="23" spans="2:4" x14ac:dyDescent="0.3">
      <c r="B23" s="422">
        <v>2</v>
      </c>
      <c r="C23" s="423">
        <v>105.8964168631979</v>
      </c>
      <c r="D23" s="429">
        <f t="shared" si="0"/>
        <v>0</v>
      </c>
    </row>
    <row r="24" spans="2:4" x14ac:dyDescent="0.3">
      <c r="B24" s="422">
        <v>3</v>
      </c>
      <c r="C24" s="423">
        <v>105.45103527436916</v>
      </c>
      <c r="D24" s="429">
        <f t="shared" si="0"/>
        <v>0</v>
      </c>
    </row>
    <row r="25" spans="2:4" x14ac:dyDescent="0.3">
      <c r="B25" s="422">
        <v>4</v>
      </c>
      <c r="C25" s="423">
        <v>104.1856806291981</v>
      </c>
      <c r="D25" s="429">
        <f t="shared" si="0"/>
        <v>0</v>
      </c>
    </row>
    <row r="26" spans="2:4" x14ac:dyDescent="0.3">
      <c r="B26" s="422">
        <v>5</v>
      </c>
      <c r="C26" s="423">
        <v>102.45234191142383</v>
      </c>
      <c r="D26" s="429">
        <f t="shared" si="0"/>
        <v>0</v>
      </c>
    </row>
    <row r="27" spans="2:4" x14ac:dyDescent="0.3">
      <c r="B27" s="422">
        <v>6</v>
      </c>
      <c r="C27" s="423">
        <v>100.4612448294766</v>
      </c>
      <c r="D27" s="429">
        <f t="shared" si="0"/>
        <v>0</v>
      </c>
    </row>
    <row r="28" spans="2:4" x14ac:dyDescent="0.3">
      <c r="B28" s="422">
        <v>7</v>
      </c>
      <c r="C28" s="423">
        <v>98.337743021337431</v>
      </c>
      <c r="D28" s="429">
        <f t="shared" si="0"/>
        <v>0</v>
      </c>
    </row>
    <row r="29" spans="2:4" x14ac:dyDescent="0.3">
      <c r="B29" s="422">
        <v>8</v>
      </c>
      <c r="C29" s="423">
        <v>96.157274291387068</v>
      </c>
      <c r="D29" s="429">
        <f t="shared" si="0"/>
        <v>0</v>
      </c>
    </row>
    <row r="30" spans="2:4" x14ac:dyDescent="0.3">
      <c r="B30" s="422">
        <v>9</v>
      </c>
      <c r="C30" s="423">
        <v>93.965844477186067</v>
      </c>
      <c r="D30" s="429">
        <f t="shared" si="0"/>
        <v>0</v>
      </c>
    </row>
    <row r="31" spans="2:4" x14ac:dyDescent="0.3">
      <c r="B31" s="422">
        <v>10</v>
      </c>
      <c r="C31" s="423">
        <v>91.791864554967603</v>
      </c>
      <c r="D31" s="429">
        <f t="shared" si="0"/>
        <v>0</v>
      </c>
    </row>
    <row r="32" spans="2:4" x14ac:dyDescent="0.3">
      <c r="B32" s="422">
        <v>11</v>
      </c>
      <c r="C32" s="423">
        <v>89.653016498904634</v>
      </c>
      <c r="D32" s="429">
        <f t="shared" si="0"/>
        <v>0</v>
      </c>
    </row>
    <row r="33" spans="2:4" x14ac:dyDescent="0.3">
      <c r="B33" s="422">
        <v>12</v>
      </c>
      <c r="C33" s="423">
        <v>87.560290874065217</v>
      </c>
      <c r="D33" s="429">
        <f t="shared" si="0"/>
        <v>0</v>
      </c>
    </row>
    <row r="34" spans="2:4" x14ac:dyDescent="0.3">
      <c r="B34" s="422">
        <v>13</v>
      </c>
      <c r="C34" s="423">
        <v>85.520408148112423</v>
      </c>
      <c r="D34" s="429">
        <f t="shared" si="0"/>
        <v>0</v>
      </c>
    </row>
    <row r="35" spans="2:4" x14ac:dyDescent="0.3">
      <c r="B35" s="422">
        <v>14</v>
      </c>
      <c r="C35" s="423">
        <v>83.537304103722647</v>
      </c>
      <c r="D35" s="429">
        <f t="shared" si="0"/>
        <v>0</v>
      </c>
    </row>
    <row r="36" spans="2:4" x14ac:dyDescent="0.3">
      <c r="B36" s="422">
        <v>15</v>
      </c>
      <c r="C36" s="423">
        <v>81.613063280951451</v>
      </c>
      <c r="D36" s="429">
        <f t="shared" si="0"/>
        <v>0</v>
      </c>
    </row>
    <row r="37" spans="2:4" x14ac:dyDescent="0.3">
      <c r="B37" s="422">
        <v>16</v>
      </c>
      <c r="C37" s="423">
        <v>79.748519848369099</v>
      </c>
      <c r="D37" s="429">
        <f t="shared" si="0"/>
        <v>0</v>
      </c>
    </row>
    <row r="38" spans="2:4" x14ac:dyDescent="0.3">
      <c r="B38" s="422">
        <v>17</v>
      </c>
      <c r="C38" s="423">
        <v>77.943653456247901</v>
      </c>
      <c r="D38" s="429">
        <f t="shared" si="0"/>
        <v>0</v>
      </c>
    </row>
    <row r="39" spans="2:4" x14ac:dyDescent="0.3">
      <c r="B39" s="422">
        <v>18</v>
      </c>
      <c r="C39" s="423">
        <v>76.197855723699263</v>
      </c>
      <c r="D39" s="429">
        <f t="shared" si="0"/>
        <v>0</v>
      </c>
    </row>
    <row r="40" spans="2:4" x14ac:dyDescent="0.3">
      <c r="B40" s="422">
        <v>19</v>
      </c>
      <c r="C40" s="423">
        <v>74.510113201883144</v>
      </c>
      <c r="D40" s="429">
        <f t="shared" si="0"/>
        <v>0</v>
      </c>
    </row>
    <row r="41" spans="2:4" x14ac:dyDescent="0.3">
      <c r="B41" s="422">
        <v>20</v>
      </c>
      <c r="C41" s="423">
        <v>72.879135210059985</v>
      </c>
      <c r="D41" s="429">
        <f t="shared" si="0"/>
        <v>0</v>
      </c>
    </row>
    <row r="42" spans="2:4" x14ac:dyDescent="0.3">
      <c r="B42" s="422">
        <v>21</v>
      </c>
      <c r="C42" s="423">
        <v>71.303444523951867</v>
      </c>
      <c r="D42" s="429">
        <f t="shared" si="0"/>
        <v>0</v>
      </c>
    </row>
    <row r="43" spans="2:4" x14ac:dyDescent="0.3">
      <c r="B43" s="422">
        <v>22</v>
      </c>
      <c r="C43" s="423">
        <v>69.78144254478336</v>
      </c>
      <c r="D43" s="429">
        <f t="shared" si="0"/>
        <v>0</v>
      </c>
    </row>
    <row r="44" spans="2:4" x14ac:dyDescent="0.3">
      <c r="B44" s="422">
        <v>23</v>
      </c>
      <c r="C44" s="423">
        <v>68.311456624068157</v>
      </c>
      <c r="D44" s="429">
        <f t="shared" si="0"/>
        <v>0</v>
      </c>
    </row>
    <row r="45" spans="2:4" x14ac:dyDescent="0.3">
      <c r="B45" s="422">
        <v>24</v>
      </c>
      <c r="C45" s="423">
        <v>66.891774707922465</v>
      </c>
      <c r="D45" s="429">
        <f t="shared" si="0"/>
        <v>0</v>
      </c>
    </row>
    <row r="46" spans="2:4" x14ac:dyDescent="0.3">
      <c r="B46" s="422">
        <v>25</v>
      </c>
      <c r="C46" s="423">
        <v>65.520670837913087</v>
      </c>
      <c r="D46" s="429">
        <f t="shared" si="0"/>
        <v>0</v>
      </c>
    </row>
    <row r="47" spans="2:4" x14ac:dyDescent="0.3">
      <c r="B47" s="422">
        <v>26</v>
      </c>
      <c r="C47" s="423">
        <v>64.196423971860028</v>
      </c>
      <c r="D47" s="429">
        <f t="shared" si="0"/>
        <v>0</v>
      </c>
    </row>
    <row r="48" spans="2:4" x14ac:dyDescent="0.3">
      <c r="B48" s="422">
        <v>27</v>
      </c>
      <c r="C48" s="423">
        <v>62.917331866955884</v>
      </c>
      <c r="D48" s="429">
        <f t="shared" si="0"/>
        <v>0</v>
      </c>
    </row>
    <row r="49" spans="2:4" x14ac:dyDescent="0.3">
      <c r="B49" s="422">
        <v>28</v>
      </c>
      <c r="C49" s="423">
        <v>61.681721275246012</v>
      </c>
      <c r="D49" s="429">
        <f t="shared" si="0"/>
        <v>0</v>
      </c>
    </row>
    <row r="50" spans="2:4" x14ac:dyDescent="0.3">
      <c r="B50" s="422">
        <v>29</v>
      </c>
      <c r="C50" s="423">
        <v>60.487955360165827</v>
      </c>
      <c r="D50" s="429">
        <f t="shared" si="0"/>
        <v>0</v>
      </c>
    </row>
    <row r="51" spans="2:4" x14ac:dyDescent="0.3">
      <c r="B51" s="422">
        <v>30</v>
      </c>
      <c r="C51" s="423">
        <v>59.334439002739195</v>
      </c>
      <c r="D51" s="429">
        <f t="shared" si="0"/>
        <v>0</v>
      </c>
    </row>
    <row r="52" spans="2:4" x14ac:dyDescent="0.3">
      <c r="B52" s="422">
        <v>31</v>
      </c>
      <c r="C52" s="423">
        <v>58.219622494899632</v>
      </c>
      <c r="D52" s="429">
        <f t="shared" si="0"/>
        <v>0</v>
      </c>
    </row>
    <row r="53" spans="2:4" x14ac:dyDescent="0.3">
      <c r="B53" s="422">
        <v>32</v>
      </c>
      <c r="C53" s="423">
        <v>57.142003993870581</v>
      </c>
      <c r="D53" s="429">
        <f t="shared" si="0"/>
        <v>0</v>
      </c>
    </row>
    <row r="54" spans="2:4" x14ac:dyDescent="0.3">
      <c r="B54" s="422">
        <v>33</v>
      </c>
      <c r="C54" s="423">
        <v>56.100131021341468</v>
      </c>
      <c r="D54" s="429">
        <f t="shared" ref="D54:D85" si="1">$C$16*C54</f>
        <v>0</v>
      </c>
    </row>
    <row r="55" spans="2:4" x14ac:dyDescent="0.3">
      <c r="B55" s="422">
        <v>34</v>
      </c>
      <c r="C55" s="423">
        <v>55.092601224590453</v>
      </c>
      <c r="D55" s="429">
        <f t="shared" si="1"/>
        <v>0</v>
      </c>
    </row>
    <row r="56" spans="2:4" x14ac:dyDescent="0.3">
      <c r="B56" s="422">
        <v>35</v>
      </c>
      <c r="C56" s="423">
        <v>54.118062567049734</v>
      </c>
      <c r="D56" s="429">
        <f t="shared" si="1"/>
        <v>0</v>
      </c>
    </row>
    <row r="57" spans="2:4" x14ac:dyDescent="0.3">
      <c r="B57" s="422">
        <v>36</v>
      </c>
      <c r="C57" s="423">
        <v>53.175213078422644</v>
      </c>
      <c r="D57" s="429">
        <f t="shared" si="1"/>
        <v>0</v>
      </c>
    </row>
    <row r="58" spans="2:4" x14ac:dyDescent="0.3">
      <c r="B58" s="422">
        <v>37</v>
      </c>
      <c r="C58" s="423">
        <v>52.262800266062222</v>
      </c>
      <c r="D58" s="429">
        <f t="shared" si="1"/>
        <v>0</v>
      </c>
    </row>
    <row r="59" spans="2:4" x14ac:dyDescent="0.3">
      <c r="B59" s="422">
        <v>38</v>
      </c>
      <c r="C59" s="423">
        <v>51.379620267564896</v>
      </c>
      <c r="D59" s="429">
        <f t="shared" si="1"/>
        <v>0</v>
      </c>
    </row>
    <row r="60" spans="2:4" x14ac:dyDescent="0.3">
      <c r="B60" s="422">
        <v>39</v>
      </c>
      <c r="C60" s="423">
        <v>50.524516807735246</v>
      </c>
      <c r="D60" s="429">
        <f t="shared" si="1"/>
        <v>0</v>
      </c>
    </row>
    <row r="61" spans="2:4" x14ac:dyDescent="0.3">
      <c r="B61" s="422">
        <v>40</v>
      </c>
      <c r="C61" s="423">
        <v>49.69638001001293</v>
      </c>
      <c r="D61" s="429">
        <f t="shared" si="1"/>
        <v>0</v>
      </c>
    </row>
    <row r="62" spans="2:4" x14ac:dyDescent="0.3">
      <c r="B62" s="422">
        <v>41</v>
      </c>
      <c r="C62" s="423">
        <v>48.894145102220733</v>
      </c>
      <c r="D62" s="429">
        <f t="shared" si="1"/>
        <v>0</v>
      </c>
    </row>
    <row r="63" spans="2:4" x14ac:dyDescent="0.3">
      <c r="B63" s="422">
        <v>42</v>
      </c>
      <c r="C63" s="423">
        <v>48.116791048427508</v>
      </c>
      <c r="D63" s="429">
        <f t="shared" si="1"/>
        <v>0</v>
      </c>
    </row>
    <row r="64" spans="2:4" x14ac:dyDescent="0.3">
      <c r="B64" s="422">
        <v>43</v>
      </c>
      <c r="C64" s="423">
        <v>47.363339132325194</v>
      </c>
      <c r="D64" s="429">
        <f t="shared" si="1"/>
        <v>0</v>
      </c>
    </row>
    <row r="65" spans="2:4" x14ac:dyDescent="0.3">
      <c r="B65" s="422">
        <v>44</v>
      </c>
      <c r="C65" s="423">
        <v>46.632851512419961</v>
      </c>
      <c r="D65" s="429">
        <f t="shared" si="1"/>
        <v>0</v>
      </c>
    </row>
    <row r="66" spans="2:4" x14ac:dyDescent="0.3">
      <c r="B66" s="422">
        <v>45</v>
      </c>
      <c r="C66" s="423">
        <v>45.924429765252192</v>
      </c>
      <c r="D66" s="429">
        <f t="shared" si="1"/>
        <v>0</v>
      </c>
    </row>
    <row r="67" spans="2:4" x14ac:dyDescent="0.3">
      <c r="B67" s="422">
        <v>46</v>
      </c>
      <c r="C67" s="423">
        <v>45.237213429570467</v>
      </c>
      <c r="D67" s="429">
        <f t="shared" si="1"/>
        <v>0</v>
      </c>
    </row>
    <row r="68" spans="2:4" x14ac:dyDescent="0.3">
      <c r="B68" s="422">
        <v>47</v>
      </c>
      <c r="C68" s="423">
        <v>44.57037856172613</v>
      </c>
      <c r="D68" s="429">
        <f t="shared" si="1"/>
        <v>0</v>
      </c>
    </row>
    <row r="69" spans="2:4" x14ac:dyDescent="0.3">
      <c r="B69" s="422">
        <v>48</v>
      </c>
      <c r="C69" s="423">
        <v>43.923136310397517</v>
      </c>
      <c r="D69" s="429">
        <f t="shared" si="1"/>
        <v>0</v>
      </c>
    </row>
    <row r="70" spans="2:4" x14ac:dyDescent="0.3">
      <c r="B70" s="422">
        <v>49</v>
      </c>
      <c r="C70" s="423">
        <v>43.294731516997317</v>
      </c>
      <c r="D70" s="429">
        <f t="shared" si="1"/>
        <v>0</v>
      </c>
    </row>
    <row r="71" spans="2:4" x14ac:dyDescent="0.3">
      <c r="B71" s="422">
        <v>50</v>
      </c>
      <c r="C71" s="423">
        <v>42.684441346683776</v>
      </c>
      <c r="D71" s="429">
        <f t="shared" si="1"/>
        <v>0</v>
      </c>
    </row>
    <row r="72" spans="2:4" x14ac:dyDescent="0.3">
      <c r="B72" s="422">
        <v>51</v>
      </c>
      <c r="C72" s="423">
        <v>42.091573953724996</v>
      </c>
      <c r="D72" s="429">
        <f t="shared" si="1"/>
        <v>0</v>
      </c>
    </row>
    <row r="73" spans="2:4" x14ac:dyDescent="0.3">
      <c r="B73" s="422">
        <v>52</v>
      </c>
      <c r="C73" s="423">
        <v>41.515467184005544</v>
      </c>
      <c r="D73" s="429">
        <f t="shared" si="1"/>
        <v>0</v>
      </c>
    </row>
    <row r="74" spans="2:4" x14ac:dyDescent="0.3">
      <c r="B74" s="422">
        <v>53</v>
      </c>
      <c r="C74" s="423">
        <v>40.955487316678919</v>
      </c>
      <c r="D74" s="429">
        <f t="shared" si="1"/>
        <v>0</v>
      </c>
    </row>
    <row r="75" spans="2:4" x14ac:dyDescent="0.3">
      <c r="B75" s="422">
        <v>54</v>
      </c>
      <c r="C75" s="423">
        <v>40.411027846323918</v>
      </c>
      <c r="D75" s="429">
        <f t="shared" si="1"/>
        <v>0</v>
      </c>
    </row>
    <row r="76" spans="2:4" x14ac:dyDescent="0.3">
      <c r="B76" s="422">
        <v>55</v>
      </c>
      <c r="C76" s="423">
        <v>39.881508306435343</v>
      </c>
      <c r="D76" s="429">
        <f t="shared" si="1"/>
        <v>0</v>
      </c>
    </row>
    <row r="77" spans="2:4" x14ac:dyDescent="0.3">
      <c r="B77" s="422">
        <v>56</v>
      </c>
      <c r="C77" s="423">
        <v>39.366373134647112</v>
      </c>
      <c r="D77" s="429">
        <f t="shared" si="1"/>
        <v>0</v>
      </c>
    </row>
    <row r="78" spans="2:4" x14ac:dyDescent="0.3">
      <c r="B78" s="422">
        <v>57</v>
      </c>
      <c r="C78" s="423">
        <v>38.865090579733419</v>
      </c>
      <c r="D78" s="429">
        <f t="shared" si="1"/>
        <v>0</v>
      </c>
    </row>
    <row r="79" spans="2:4" x14ac:dyDescent="0.3">
      <c r="B79" s="422">
        <v>58</v>
      </c>
      <c r="C79" s="423">
        <v>38.377151650147169</v>
      </c>
      <c r="D79" s="429">
        <f t="shared" si="1"/>
        <v>0</v>
      </c>
    </row>
    <row r="80" spans="2:4" x14ac:dyDescent="0.3">
      <c r="B80" s="422">
        <v>59</v>
      </c>
      <c r="C80" s="423">
        <v>37.902069103623269</v>
      </c>
      <c r="D80" s="429">
        <f t="shared" si="1"/>
        <v>0</v>
      </c>
    </row>
    <row r="81" spans="2:4" x14ac:dyDescent="0.3">
      <c r="B81" s="422">
        <v>60</v>
      </c>
      <c r="C81" s="423">
        <v>37.439376477188503</v>
      </c>
      <c r="D81" s="429">
        <f t="shared" si="1"/>
        <v>0</v>
      </c>
    </row>
    <row r="82" spans="2:4" x14ac:dyDescent="0.3">
      <c r="B82" s="422">
        <v>61</v>
      </c>
      <c r="C82" s="423">
        <v>36.988627156772239</v>
      </c>
      <c r="D82" s="429">
        <f t="shared" si="1"/>
        <v>0</v>
      </c>
    </row>
    <row r="83" spans="2:4" x14ac:dyDescent="0.3">
      <c r="B83" s="422">
        <v>62</v>
      </c>
      <c r="C83" s="423">
        <v>36.54939348549631</v>
      </c>
      <c r="D83" s="429">
        <f t="shared" si="1"/>
        <v>0</v>
      </c>
    </row>
    <row r="84" spans="2:4" x14ac:dyDescent="0.3">
      <c r="B84" s="422">
        <v>63</v>
      </c>
      <c r="C84" s="423">
        <v>36.121265909633394</v>
      </c>
      <c r="D84" s="429">
        <f t="shared" si="1"/>
        <v>0</v>
      </c>
    </row>
    <row r="85" spans="2:4" x14ac:dyDescent="0.3">
      <c r="B85" s="422">
        <v>64</v>
      </c>
      <c r="C85" s="423">
        <v>35.703852161156689</v>
      </c>
      <c r="D85" s="429">
        <f t="shared" si="1"/>
        <v>0</v>
      </c>
    </row>
    <row r="86" spans="2:4" x14ac:dyDescent="0.3">
      <c r="B86" s="422">
        <v>65</v>
      </c>
      <c r="C86" s="423">
        <v>35.296776475755465</v>
      </c>
      <c r="D86" s="429">
        <f t="shared" ref="D86:D117" si="2">$C$16*C86</f>
        <v>0</v>
      </c>
    </row>
    <row r="87" spans="2:4" x14ac:dyDescent="0.3">
      <c r="B87" s="422">
        <v>66</v>
      </c>
      <c r="C87" s="423">
        <v>34.899678845158398</v>
      </c>
      <c r="D87" s="429">
        <f t="shared" si="2"/>
        <v>0</v>
      </c>
    </row>
    <row r="88" spans="2:4" x14ac:dyDescent="0.3">
      <c r="B88" s="422">
        <v>67</v>
      </c>
      <c r="C88" s="423">
        <v>34.512214302587672</v>
      </c>
      <c r="D88" s="429">
        <f t="shared" si="2"/>
        <v>0</v>
      </c>
    </row>
    <row r="89" spans="2:4" x14ac:dyDescent="0.3">
      <c r="B89" s="422">
        <v>68</v>
      </c>
      <c r="C89" s="423">
        <v>34.134052240157409</v>
      </c>
      <c r="D89" s="429">
        <f t="shared" si="2"/>
        <v>0</v>
      </c>
    </row>
    <row r="90" spans="2:4" x14ac:dyDescent="0.3">
      <c r="B90" s="422">
        <v>69</v>
      </c>
      <c r="C90" s="423">
        <v>33.764875757030971</v>
      </c>
      <c r="D90" s="429">
        <f t="shared" si="2"/>
        <v>0</v>
      </c>
    </row>
    <row r="91" spans="2:4" x14ac:dyDescent="0.3">
      <c r="B91" s="422">
        <v>70</v>
      </c>
      <c r="C91" s="423">
        <v>33.404381037158757</v>
      </c>
      <c r="D91" s="429">
        <f t="shared" si="2"/>
        <v>0</v>
      </c>
    </row>
    <row r="92" spans="2:4" x14ac:dyDescent="0.3">
      <c r="B92" s="422">
        <v>71</v>
      </c>
      <c r="C92" s="423">
        <v>33.05227675543226</v>
      </c>
      <c r="D92" s="429">
        <f t="shared" si="2"/>
        <v>0</v>
      </c>
    </row>
    <row r="93" spans="2:4" x14ac:dyDescent="0.3">
      <c r="B93" s="422">
        <v>72</v>
      </c>
      <c r="C93" s="423">
        <v>32.708283511108526</v>
      </c>
      <c r="D93" s="429">
        <f t="shared" si="2"/>
        <v>0</v>
      </c>
    </row>
    <row r="94" spans="2:4" x14ac:dyDescent="0.3">
      <c r="B94" s="422">
        <v>73</v>
      </c>
      <c r="C94" s="423">
        <v>32.372133287382098</v>
      </c>
      <c r="D94" s="429">
        <f t="shared" si="2"/>
        <v>0</v>
      </c>
    </row>
    <row r="95" spans="2:4" x14ac:dyDescent="0.3">
      <c r="B95" s="422">
        <v>74</v>
      </c>
      <c r="C95" s="423">
        <v>32.043568936006857</v>
      </c>
      <c r="D95" s="429">
        <f t="shared" si="2"/>
        <v>0</v>
      </c>
    </row>
    <row r="96" spans="2:4" x14ac:dyDescent="0.3">
      <c r="B96" s="422">
        <v>75</v>
      </c>
      <c r="C96" s="423">
        <v>31.722343685898959</v>
      </c>
      <c r="D96" s="429">
        <f t="shared" si="2"/>
        <v>0</v>
      </c>
    </row>
    <row r="97" spans="2:4" x14ac:dyDescent="0.3">
      <c r="B97" s="422">
        <v>76</v>
      </c>
      <c r="C97" s="423">
        <v>31.408220674681935</v>
      </c>
      <c r="D97" s="429">
        <f t="shared" si="2"/>
        <v>0</v>
      </c>
    </row>
    <row r="98" spans="2:4" x14ac:dyDescent="0.3">
      <c r="B98" s="422">
        <v>77</v>
      </c>
      <c r="C98" s="423">
        <v>31.100972502166545</v>
      </c>
      <c r="D98" s="429">
        <f t="shared" si="2"/>
        <v>0</v>
      </c>
    </row>
    <row r="99" spans="2:4" x14ac:dyDescent="0.3">
      <c r="B99" s="422">
        <v>78</v>
      </c>
      <c r="C99" s="423">
        <v>30.800380804790557</v>
      </c>
      <c r="D99" s="429">
        <f t="shared" si="2"/>
        <v>0</v>
      </c>
    </row>
    <row r="100" spans="2:4" x14ac:dyDescent="0.3">
      <c r="B100" s="422">
        <v>79</v>
      </c>
      <c r="C100" s="423">
        <v>30.506235850076841</v>
      </c>
      <c r="D100" s="429">
        <f t="shared" si="2"/>
        <v>0</v>
      </c>
    </row>
    <row r="101" spans="2:4" x14ac:dyDescent="0.3">
      <c r="B101" s="422">
        <v>80</v>
      </c>
      <c r="C101" s="423">
        <v>30.218336150201289</v>
      </c>
      <c r="D101" s="429">
        <f t="shared" si="2"/>
        <v>0</v>
      </c>
    </row>
    <row r="102" spans="2:4" x14ac:dyDescent="0.3">
      <c r="B102" s="422">
        <v>81</v>
      </c>
      <c r="C102" s="423">
        <v>29.936488093795877</v>
      </c>
      <c r="D102" s="429">
        <f t="shared" si="2"/>
        <v>0</v>
      </c>
    </row>
    <row r="103" spans="2:4" x14ac:dyDescent="0.3">
      <c r="B103" s="422">
        <v>82</v>
      </c>
      <c r="C103" s="423">
        <v>29.660505595145278</v>
      </c>
      <c r="D103" s="429">
        <f t="shared" si="2"/>
        <v>0</v>
      </c>
    </row>
    <row r="104" spans="2:4" x14ac:dyDescent="0.3">
      <c r="B104" s="422">
        <v>83</v>
      </c>
      <c r="C104" s="423">
        <v>29.390209759968535</v>
      </c>
      <c r="D104" s="429">
        <f t="shared" si="2"/>
        <v>0</v>
      </c>
    </row>
    <row r="105" spans="2:4" x14ac:dyDescent="0.3">
      <c r="B105" s="422">
        <v>84</v>
      </c>
      <c r="C105" s="423">
        <v>29.125428567009706</v>
      </c>
      <c r="D105" s="429">
        <f t="shared" si="2"/>
        <v>0</v>
      </c>
    </row>
    <row r="106" spans="2:4" x14ac:dyDescent="0.3">
      <c r="B106" s="422">
        <v>85</v>
      </c>
      <c r="C106" s="423">
        <v>28.86599656469355</v>
      </c>
      <c r="D106" s="429">
        <f t="shared" si="2"/>
        <v>0</v>
      </c>
    </row>
    <row r="107" spans="2:4" x14ac:dyDescent="0.3">
      <c r="B107" s="422">
        <v>86</v>
      </c>
      <c r="C107" s="423">
        <v>28.611754582133219</v>
      </c>
      <c r="D107" s="429">
        <f t="shared" si="2"/>
        <v>0</v>
      </c>
    </row>
    <row r="108" spans="2:4" x14ac:dyDescent="0.3">
      <c r="B108" s="422">
        <v>87</v>
      </c>
      <c r="C108" s="423">
        <v>28.362549453807642</v>
      </c>
      <c r="D108" s="429">
        <f t="shared" si="2"/>
        <v>0</v>
      </c>
    </row>
    <row r="109" spans="2:4" x14ac:dyDescent="0.3">
      <c r="B109" s="422">
        <v>88</v>
      </c>
      <c r="C109" s="423">
        <v>28.118233757255961</v>
      </c>
      <c r="D109" s="429">
        <f t="shared" si="2"/>
        <v>0</v>
      </c>
    </row>
    <row r="110" spans="2:4" x14ac:dyDescent="0.3">
      <c r="B110" s="422">
        <v>89</v>
      </c>
      <c r="C110" s="423">
        <v>27.878665563164827</v>
      </c>
      <c r="D110" s="429">
        <f t="shared" si="2"/>
        <v>0</v>
      </c>
    </row>
    <row r="111" spans="2:4" x14ac:dyDescent="0.3">
      <c r="B111" s="422">
        <v>90</v>
      </c>
      <c r="C111" s="423">
        <v>27.643708197252725</v>
      </c>
      <c r="D111" s="429">
        <f t="shared" si="2"/>
        <v>0</v>
      </c>
    </row>
    <row r="112" spans="2:4" x14ac:dyDescent="0.3">
      <c r="B112" s="422">
        <v>91</v>
      </c>
      <c r="C112" s="423">
        <v>27.41323001338198</v>
      </c>
      <c r="D112" s="429">
        <f t="shared" si="2"/>
        <v>0</v>
      </c>
    </row>
    <row r="113" spans="2:4" x14ac:dyDescent="0.3">
      <c r="B113" s="422">
        <v>92</v>
      </c>
      <c r="C113" s="423">
        <v>27.18710417735549</v>
      </c>
      <c r="D113" s="429">
        <f t="shared" si="2"/>
        <v>0</v>
      </c>
    </row>
    <row r="114" spans="2:4" x14ac:dyDescent="0.3">
      <c r="B114" s="422">
        <v>93</v>
      </c>
      <c r="C114" s="423">
        <v>26.965208460880035</v>
      </c>
      <c r="D114" s="429">
        <f t="shared" si="2"/>
        <v>0</v>
      </c>
    </row>
    <row r="115" spans="2:4" x14ac:dyDescent="0.3">
      <c r="B115" s="422">
        <v>94</v>
      </c>
      <c r="C115" s="423">
        <v>26.747425045202434</v>
      </c>
      <c r="D115" s="429">
        <f t="shared" si="2"/>
        <v>0</v>
      </c>
    </row>
    <row r="116" spans="2:4" x14ac:dyDescent="0.3">
      <c r="B116" s="422">
        <v>95</v>
      </c>
      <c r="C116" s="423">
        <v>26.533640333947588</v>
      </c>
      <c r="D116" s="429">
        <f t="shared" si="2"/>
        <v>0</v>
      </c>
    </row>
    <row r="117" spans="2:4" x14ac:dyDescent="0.3">
      <c r="B117" s="422">
        <v>96</v>
      </c>
      <c r="C117" s="423">
        <v>26.32374477471031</v>
      </c>
      <c r="D117" s="429">
        <f t="shared" si="2"/>
        <v>0</v>
      </c>
    </row>
    <row r="118" spans="2:4" x14ac:dyDescent="0.3">
      <c r="B118" s="422">
        <v>97</v>
      </c>
      <c r="C118" s="423">
        <v>26.1176326889737</v>
      </c>
      <c r="D118" s="429">
        <f t="shared" ref="D118:D149" si="3">$C$16*C118</f>
        <v>0</v>
      </c>
    </row>
    <row r="119" spans="2:4" x14ac:dyDescent="0.3">
      <c r="B119" s="422">
        <v>98</v>
      </c>
      <c r="C119" s="423">
        <v>25.915202109947547</v>
      </c>
      <c r="D119" s="429">
        <f t="shared" si="3"/>
        <v>0</v>
      </c>
    </row>
    <row r="120" spans="2:4" x14ac:dyDescent="0.3">
      <c r="B120" s="422">
        <v>99</v>
      </c>
      <c r="C120" s="423">
        <v>25.716354627939868</v>
      </c>
      <c r="D120" s="429">
        <f t="shared" si="3"/>
        <v>0</v>
      </c>
    </row>
    <row r="121" spans="2:4" x14ac:dyDescent="0.3">
      <c r="B121" s="422">
        <v>100</v>
      </c>
      <c r="C121" s="423">
        <v>25.520995242893427</v>
      </c>
      <c r="D121" s="429">
        <f t="shared" si="3"/>
        <v>0</v>
      </c>
    </row>
    <row r="122" spans="2:4" x14ac:dyDescent="0.3">
      <c r="B122" s="422">
        <f>B121+1</f>
        <v>101</v>
      </c>
      <c r="C122" s="423">
        <v>25.329032223736771</v>
      </c>
      <c r="D122" s="429">
        <f t="shared" si="3"/>
        <v>0</v>
      </c>
    </row>
    <row r="123" spans="2:4" x14ac:dyDescent="0.3">
      <c r="B123" s="422">
        <f t="shared" ref="B123:B171" si="4">B122+1</f>
        <v>102</v>
      </c>
      <c r="C123" s="423">
        <v>25.14037697421703</v>
      </c>
      <c r="D123" s="429">
        <f t="shared" si="3"/>
        <v>0</v>
      </c>
    </row>
    <row r="124" spans="2:4" x14ac:dyDescent="0.3">
      <c r="B124" s="422">
        <f t="shared" si="4"/>
        <v>103</v>
      </c>
      <c r="C124" s="423">
        <v>24.954943904897362</v>
      </c>
      <c r="D124" s="429">
        <f t="shared" si="3"/>
        <v>0</v>
      </c>
    </row>
    <row r="125" spans="2:4" x14ac:dyDescent="0.3">
      <c r="B125" s="422">
        <f t="shared" si="4"/>
        <v>104</v>
      </c>
      <c r="C125" s="423">
        <v>24.772650311018165</v>
      </c>
      <c r="D125" s="429">
        <f t="shared" si="3"/>
        <v>0</v>
      </c>
    </row>
    <row r="126" spans="2:4" x14ac:dyDescent="0.3">
      <c r="B126" s="422">
        <f t="shared" si="4"/>
        <v>105</v>
      </c>
      <c r="C126" s="423">
        <v>24.59341625593563</v>
      </c>
      <c r="D126" s="429">
        <f t="shared" si="3"/>
        <v>0</v>
      </c>
    </row>
    <row r="127" spans="2:4" x14ac:dyDescent="0.3">
      <c r="B127" s="422">
        <f t="shared" si="4"/>
        <v>106</v>
      </c>
      <c r="C127" s="423">
        <v>24.417164459865688</v>
      </c>
      <c r="D127" s="429">
        <f t="shared" si="3"/>
        <v>0</v>
      </c>
    </row>
    <row r="128" spans="2:4" x14ac:dyDescent="0.3">
      <c r="B128" s="422">
        <f t="shared" si="4"/>
        <v>107</v>
      </c>
      <c r="C128" s="423">
        <v>24.243820193674676</v>
      </c>
      <c r="D128" s="429">
        <f t="shared" si="3"/>
        <v>0</v>
      </c>
    </row>
    <row r="129" spans="2:4" x14ac:dyDescent="0.3">
      <c r="B129" s="422">
        <f t="shared" si="4"/>
        <v>108</v>
      </c>
      <c r="C129" s="423">
        <v>24.073311177471183</v>
      </c>
      <c r="D129" s="429">
        <f t="shared" si="3"/>
        <v>0</v>
      </c>
    </row>
    <row r="130" spans="2:4" x14ac:dyDescent="0.3">
      <c r="B130" s="422">
        <f t="shared" si="4"/>
        <v>109</v>
      </c>
      <c r="C130" s="423">
        <v>23.905567483765488</v>
      </c>
      <c r="D130" s="429">
        <f t="shared" si="3"/>
        <v>0</v>
      </c>
    </row>
    <row r="131" spans="2:4" x14ac:dyDescent="0.3">
      <c r="B131" s="422">
        <f t="shared" si="4"/>
        <v>110</v>
      </c>
      <c r="C131" s="423">
        <v>23.74052144497503</v>
      </c>
      <c r="D131" s="429">
        <f t="shared" si="3"/>
        <v>0</v>
      </c>
    </row>
    <row r="132" spans="2:4" x14ac:dyDescent="0.3">
      <c r="B132" s="422">
        <f t="shared" si="4"/>
        <v>111</v>
      </c>
      <c r="C132" s="423">
        <v>23.578107565065082</v>
      </c>
      <c r="D132" s="429">
        <f t="shared" si="3"/>
        <v>0</v>
      </c>
    </row>
    <row r="133" spans="2:4" x14ac:dyDescent="0.3">
      <c r="B133" s="422">
        <f t="shared" si="4"/>
        <v>112</v>
      </c>
      <c r="C133" s="423">
        <v>23.418262435124596</v>
      </c>
      <c r="D133" s="429">
        <f t="shared" si="3"/>
        <v>0</v>
      </c>
    </row>
    <row r="134" spans="2:4" x14ac:dyDescent="0.3">
      <c r="B134" s="422">
        <f t="shared" si="4"/>
        <v>113</v>
      </c>
      <c r="C134" s="423">
        <v>23.260924652687137</v>
      </c>
      <c r="D134" s="429">
        <f t="shared" si="3"/>
        <v>0</v>
      </c>
    </row>
    <row r="135" spans="2:4" x14ac:dyDescent="0.3">
      <c r="B135" s="422">
        <f t="shared" si="4"/>
        <v>114</v>
      </c>
      <c r="C135" s="423">
        <v>23.106034744616377</v>
      </c>
      <c r="D135" s="429">
        <f t="shared" si="3"/>
        <v>0</v>
      </c>
    </row>
    <row r="136" spans="2:4" x14ac:dyDescent="0.3">
      <c r="B136" s="422">
        <f t="shared" si="4"/>
        <v>115</v>
      </c>
      <c r="C136" s="423">
        <v>22.953535093384602</v>
      </c>
      <c r="D136" s="429">
        <f t="shared" si="3"/>
        <v>0</v>
      </c>
    </row>
    <row r="137" spans="2:4" x14ac:dyDescent="0.3">
      <c r="B137" s="422">
        <f t="shared" si="4"/>
        <v>116</v>
      </c>
      <c r="C137" s="423">
        <v>22.803369866581463</v>
      </c>
      <c r="D137" s="429">
        <f t="shared" si="3"/>
        <v>0</v>
      </c>
    </row>
    <row r="138" spans="2:4" x14ac:dyDescent="0.3">
      <c r="B138" s="422">
        <f t="shared" si="4"/>
        <v>117</v>
      </c>
      <c r="C138" s="423">
        <v>22.655484949498234</v>
      </c>
      <c r="D138" s="429">
        <f t="shared" si="3"/>
        <v>0</v>
      </c>
    </row>
    <row r="139" spans="2:4" x14ac:dyDescent="0.3">
      <c r="B139" s="422">
        <f t="shared" si="4"/>
        <v>118</v>
      </c>
      <c r="C139" s="423">
        <v>22.509827880640604</v>
      </c>
      <c r="D139" s="429">
        <f t="shared" si="3"/>
        <v>0</v>
      </c>
    </row>
    <row r="140" spans="2:4" x14ac:dyDescent="0.3">
      <c r="B140" s="422">
        <f t="shared" si="4"/>
        <v>119</v>
      </c>
      <c r="C140" s="423">
        <v>22.366347790030506</v>
      </c>
      <c r="D140" s="429">
        <f t="shared" si="3"/>
        <v>0</v>
      </c>
    </row>
    <row r="141" spans="2:4" x14ac:dyDescent="0.3">
      <c r="B141" s="422">
        <f t="shared" si="4"/>
        <v>120</v>
      </c>
      <c r="C141" s="423">
        <v>22.224995340164487</v>
      </c>
      <c r="D141" s="429">
        <f t="shared" si="3"/>
        <v>0</v>
      </c>
    </row>
    <row r="142" spans="2:4" x14ac:dyDescent="0.3">
      <c r="B142" s="422">
        <f t="shared" si="4"/>
        <v>121</v>
      </c>
      <c r="C142" s="423">
        <v>22.085722669502566</v>
      </c>
      <c r="D142" s="429">
        <f t="shared" si="3"/>
        <v>0</v>
      </c>
    </row>
    <row r="143" spans="2:4" x14ac:dyDescent="0.3">
      <c r="B143" s="422">
        <f t="shared" si="4"/>
        <v>122</v>
      </c>
      <c r="C143" s="423">
        <v>21.948483338368131</v>
      </c>
      <c r="D143" s="429">
        <f t="shared" si="3"/>
        <v>0</v>
      </c>
    </row>
    <row r="144" spans="2:4" x14ac:dyDescent="0.3">
      <c r="B144" s="422">
        <f t="shared" si="4"/>
        <v>123</v>
      </c>
      <c r="C144" s="423">
        <v>21.813232277145186</v>
      </c>
      <c r="D144" s="429">
        <f t="shared" si="3"/>
        <v>0</v>
      </c>
    </row>
    <row r="145" spans="2:4" x14ac:dyDescent="0.3">
      <c r="B145" s="422">
        <f t="shared" si="4"/>
        <v>124</v>
      </c>
      <c r="C145" s="423">
        <v>21.67992573666508</v>
      </c>
      <c r="D145" s="429">
        <f t="shared" si="3"/>
        <v>0</v>
      </c>
    </row>
    <row r="146" spans="2:4" x14ac:dyDescent="0.3">
      <c r="B146" s="422">
        <f t="shared" si="4"/>
        <v>125</v>
      </c>
      <c r="C146" s="423">
        <v>21.548521240680088</v>
      </c>
      <c r="D146" s="429">
        <f t="shared" si="3"/>
        <v>0</v>
      </c>
    </row>
    <row r="147" spans="2:4" x14ac:dyDescent="0.3">
      <c r="B147" s="422">
        <f t="shared" si="4"/>
        <v>126</v>
      </c>
      <c r="C147" s="423">
        <v>21.418977540326541</v>
      </c>
      <c r="D147" s="429">
        <f t="shared" si="3"/>
        <v>0</v>
      </c>
    </row>
    <row r="148" spans="2:4" x14ac:dyDescent="0.3">
      <c r="B148" s="422">
        <f t="shared" si="4"/>
        <v>127</v>
      </c>
      <c r="C148" s="423">
        <v>21.291254570484867</v>
      </c>
      <c r="D148" s="429">
        <f t="shared" si="3"/>
        <v>0</v>
      </c>
    </row>
    <row r="149" spans="2:4" x14ac:dyDescent="0.3">
      <c r="B149" s="422">
        <f t="shared" si="4"/>
        <v>128</v>
      </c>
      <c r="C149" s="423">
        <v>21.165313407948627</v>
      </c>
      <c r="D149" s="429">
        <f t="shared" si="3"/>
        <v>0</v>
      </c>
    </row>
    <row r="150" spans="2:4" x14ac:dyDescent="0.3">
      <c r="B150" s="422">
        <f t="shared" si="4"/>
        <v>129</v>
      </c>
      <c r="C150" s="423">
        <v>21.041116231318849</v>
      </c>
      <c r="D150" s="429">
        <f t="shared" ref="D150:D171" si="5">$C$16*C150</f>
        <v>0</v>
      </c>
    </row>
    <row r="151" spans="2:4" x14ac:dyDescent="0.3">
      <c r="B151" s="422">
        <f t="shared" si="4"/>
        <v>130</v>
      </c>
      <c r="C151" s="423">
        <v>20.918626282544409</v>
      </c>
      <c r="D151" s="429">
        <f t="shared" si="5"/>
        <v>0</v>
      </c>
    </row>
    <row r="152" spans="2:4" x14ac:dyDescent="0.3">
      <c r="B152" s="422">
        <f t="shared" si="4"/>
        <v>131</v>
      </c>
      <c r="C152" s="423">
        <v>20.797807830032678</v>
      </c>
      <c r="D152" s="429">
        <f t="shared" si="5"/>
        <v>0</v>
      </c>
    </row>
    <row r="153" spans="2:4" x14ac:dyDescent="0.3">
      <c r="B153" s="422">
        <f t="shared" si="4"/>
        <v>132</v>
      </c>
      <c r="C153" s="423">
        <v>20.678626133258913</v>
      </c>
      <c r="D153" s="429">
        <f t="shared" si="5"/>
        <v>0</v>
      </c>
    </row>
    <row r="154" spans="2:4" x14ac:dyDescent="0.3">
      <c r="B154" s="422">
        <f t="shared" si="4"/>
        <v>133</v>
      </c>
      <c r="C154" s="423">
        <v>20.561047408805948</v>
      </c>
      <c r="D154" s="429">
        <f t="shared" si="5"/>
        <v>0</v>
      </c>
    </row>
    <row r="155" spans="2:4" x14ac:dyDescent="0.3">
      <c r="B155" s="422">
        <f t="shared" si="4"/>
        <v>134</v>
      </c>
      <c r="C155" s="423">
        <v>20.445038797769389</v>
      </c>
      <c r="D155" s="429">
        <f t="shared" si="5"/>
        <v>0</v>
      </c>
    </row>
    <row r="156" spans="2:4" x14ac:dyDescent="0.3">
      <c r="B156" s="422">
        <f t="shared" si="4"/>
        <v>135</v>
      </c>
      <c r="C156" s="423">
        <v>20.330568334466534</v>
      </c>
      <c r="D156" s="429">
        <f t="shared" si="5"/>
        <v>0</v>
      </c>
    </row>
    <row r="157" spans="2:4" x14ac:dyDescent="0.3">
      <c r="B157" s="422">
        <f t="shared" si="4"/>
        <v>136</v>
      </c>
      <c r="C157" s="423">
        <v>20.217604916390414</v>
      </c>
      <c r="D157" s="429">
        <f t="shared" si="5"/>
        <v>0</v>
      </c>
    </row>
    <row r="158" spans="2:4" x14ac:dyDescent="0.3">
      <c r="B158" s="422">
        <f t="shared" si="4"/>
        <v>137</v>
      </c>
      <c r="C158" s="423">
        <v>20.106118275353072</v>
      </c>
      <c r="D158" s="429">
        <f t="shared" si="5"/>
        <v>0</v>
      </c>
    </row>
    <row r="159" spans="2:4" x14ac:dyDescent="0.3">
      <c r="B159" s="422">
        <f t="shared" si="4"/>
        <v>138</v>
      </c>
      <c r="C159" s="423">
        <v>19.996078949764946</v>
      </c>
      <c r="D159" s="429">
        <f t="shared" si="5"/>
        <v>0</v>
      </c>
    </row>
    <row r="160" spans="2:4" x14ac:dyDescent="0.3">
      <c r="B160" s="422">
        <f t="shared" si="4"/>
        <v>139</v>
      </c>
      <c r="C160" s="423">
        <v>19.887458257999917</v>
      </c>
      <c r="D160" s="429">
        <f t="shared" si="5"/>
        <v>0</v>
      </c>
    </row>
    <row r="161" spans="2:4" x14ac:dyDescent="0.3">
      <c r="B161" s="422">
        <f t="shared" si="4"/>
        <v>140</v>
      </c>
      <c r="C161" s="423">
        <v>19.780228272797874</v>
      </c>
      <c r="D161" s="429">
        <f t="shared" si="5"/>
        <v>0</v>
      </c>
    </row>
    <row r="162" spans="2:4" x14ac:dyDescent="0.3">
      <c r="B162" s="422">
        <f t="shared" si="4"/>
        <v>141</v>
      </c>
      <c r="C162" s="423">
        <v>19.674361796659063</v>
      </c>
      <c r="D162" s="429">
        <f t="shared" si="5"/>
        <v>0</v>
      </c>
    </row>
    <row r="163" spans="2:4" x14ac:dyDescent="0.3">
      <c r="B163" s="422">
        <f t="shared" si="4"/>
        <v>142</v>
      </c>
      <c r="C163" s="423">
        <v>19.569832338186682</v>
      </c>
      <c r="D163" s="429">
        <f t="shared" si="5"/>
        <v>0</v>
      </c>
    </row>
    <row r="164" spans="2:4" x14ac:dyDescent="0.3">
      <c r="B164" s="422">
        <f t="shared" si="4"/>
        <v>143</v>
      </c>
      <c r="C164" s="423">
        <v>19.466614089336204</v>
      </c>
      <c r="D164" s="429">
        <f t="shared" si="5"/>
        <v>0</v>
      </c>
    </row>
    <row r="165" spans="2:4" x14ac:dyDescent="0.3">
      <c r="B165" s="422">
        <f t="shared" si="4"/>
        <v>144</v>
      </c>
      <c r="C165" s="423">
        <v>19.364681903532066</v>
      </c>
      <c r="D165" s="429">
        <f t="shared" si="5"/>
        <v>0</v>
      </c>
    </row>
    <row r="166" spans="2:4" x14ac:dyDescent="0.3">
      <c r="B166" s="422">
        <f t="shared" si="4"/>
        <v>145</v>
      </c>
      <c r="C166" s="423">
        <v>19.264011274613996</v>
      </c>
      <c r="D166" s="429">
        <f t="shared" si="5"/>
        <v>0</v>
      </c>
    </row>
    <row r="167" spans="2:4" x14ac:dyDescent="0.3">
      <c r="B167" s="422">
        <f t="shared" si="4"/>
        <v>146</v>
      </c>
      <c r="C167" s="423">
        <v>19.164578316577277</v>
      </c>
      <c r="D167" s="429">
        <f t="shared" si="5"/>
        <v>0</v>
      </c>
    </row>
    <row r="168" spans="2:4" x14ac:dyDescent="0.3">
      <c r="B168" s="422">
        <f t="shared" si="4"/>
        <v>147</v>
      </c>
      <c r="C168" s="423">
        <v>19.066359744072834</v>
      </c>
      <c r="D168" s="429">
        <f t="shared" si="5"/>
        <v>0</v>
      </c>
    </row>
    <row r="169" spans="2:4" x14ac:dyDescent="0.3">
      <c r="B169" s="422">
        <f t="shared" si="4"/>
        <v>148</v>
      </c>
      <c r="C169" s="423">
        <v>18.969332853634562</v>
      </c>
      <c r="D169" s="429">
        <f t="shared" si="5"/>
        <v>0</v>
      </c>
    </row>
    <row r="170" spans="2:4" x14ac:dyDescent="0.3">
      <c r="B170" s="422">
        <f t="shared" si="4"/>
        <v>149</v>
      </c>
      <c r="C170" s="423">
        <v>18.873475505603114</v>
      </c>
      <c r="D170" s="429">
        <f t="shared" si="5"/>
        <v>0</v>
      </c>
    </row>
    <row r="171" spans="2:4" x14ac:dyDescent="0.3">
      <c r="B171" s="424">
        <f t="shared" si="4"/>
        <v>150</v>
      </c>
      <c r="C171" s="425">
        <v>18.778766106716375</v>
      </c>
      <c r="D171" s="430">
        <f t="shared" si="5"/>
        <v>0</v>
      </c>
    </row>
  </sheetData>
  <sheetProtection password="B467" sheet="1" objects="1" scenarios="1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C000"/>
  </sheetPr>
  <dimension ref="A2:AE128"/>
  <sheetViews>
    <sheetView showGridLines="0" zoomScaleNormal="100" workbookViewId="0">
      <selection activeCell="D22" sqref="D22"/>
    </sheetView>
  </sheetViews>
  <sheetFormatPr defaultColWidth="9" defaultRowHeight="13.8" x14ac:dyDescent="0.3"/>
  <cols>
    <col min="1" max="1" width="39.90625" style="82" customWidth="1"/>
    <col min="2" max="2" width="18.7265625" style="82" customWidth="1"/>
    <col min="3" max="3" width="16.6328125" style="82" customWidth="1"/>
    <col min="4" max="4" width="10.453125" style="82" customWidth="1"/>
    <col min="5" max="5" width="14.6328125" style="82" customWidth="1"/>
    <col min="6" max="9" width="10.453125" style="82" customWidth="1"/>
    <col min="10" max="16384" width="9" style="82"/>
  </cols>
  <sheetData>
    <row r="2" spans="1:7" ht="14.4" thickBot="1" x14ac:dyDescent="0.35">
      <c r="G2" s="83"/>
    </row>
    <row r="3" spans="1:7" ht="14.4" thickBot="1" x14ac:dyDescent="0.35">
      <c r="A3" s="84"/>
      <c r="B3" s="668" t="s">
        <v>19</v>
      </c>
      <c r="C3" s="669"/>
      <c r="D3" s="670" t="s">
        <v>24</v>
      </c>
      <c r="E3" s="671"/>
      <c r="F3" s="671"/>
      <c r="G3" s="672"/>
    </row>
    <row r="4" spans="1:7" ht="14.4" thickBot="1" x14ac:dyDescent="0.35">
      <c r="A4" s="86"/>
      <c r="B4" s="87" t="s">
        <v>16</v>
      </c>
      <c r="C4" s="87" t="s">
        <v>18</v>
      </c>
      <c r="D4" s="87" t="s">
        <v>25</v>
      </c>
      <c r="E4" s="87" t="s">
        <v>26</v>
      </c>
      <c r="F4" s="87" t="s">
        <v>28</v>
      </c>
      <c r="G4" s="87" t="s">
        <v>29</v>
      </c>
    </row>
    <row r="5" spans="1:7" ht="14.4" thickBot="1" x14ac:dyDescent="0.35">
      <c r="A5" s="86"/>
      <c r="B5" s="88" t="s">
        <v>17</v>
      </c>
      <c r="C5" s="89" t="s">
        <v>17</v>
      </c>
      <c r="D5" s="87" t="s">
        <v>27</v>
      </c>
      <c r="E5" s="90" t="s">
        <v>27</v>
      </c>
      <c r="F5" s="87" t="s">
        <v>30</v>
      </c>
      <c r="G5" s="87" t="s">
        <v>30</v>
      </c>
    </row>
    <row r="6" spans="1:7" x14ac:dyDescent="0.3">
      <c r="A6" s="91" t="s">
        <v>21</v>
      </c>
      <c r="B6" s="92">
        <v>3.05</v>
      </c>
      <c r="C6" s="93">
        <f>2.6*0.25</f>
        <v>0.65</v>
      </c>
      <c r="D6" s="555">
        <f>D93+D94</f>
        <v>0.48097814301457453</v>
      </c>
      <c r="E6" s="92">
        <v>0.1</v>
      </c>
      <c r="F6" s="94">
        <f>590</f>
        <v>590</v>
      </c>
      <c r="G6" s="94">
        <v>100</v>
      </c>
    </row>
    <row r="7" spans="1:7" x14ac:dyDescent="0.3">
      <c r="A7" s="95" t="s">
        <v>20</v>
      </c>
      <c r="B7" s="92">
        <v>35.9</v>
      </c>
      <c r="C7" s="92">
        <v>7</v>
      </c>
      <c r="D7" s="555">
        <f>F93+F94+C98+C99+(2*C100)+D102+3.4</f>
        <v>9.345181880789756</v>
      </c>
      <c r="E7" s="92">
        <v>15.9</v>
      </c>
      <c r="F7" s="96">
        <v>10000</v>
      </c>
      <c r="G7" s="96">
        <v>15000</v>
      </c>
    </row>
    <row r="8" spans="1:7" x14ac:dyDescent="0.3">
      <c r="A8" s="95" t="s">
        <v>22</v>
      </c>
      <c r="B8" s="92">
        <v>0</v>
      </c>
      <c r="C8" s="92">
        <v>0</v>
      </c>
      <c r="D8" s="92">
        <f>E8*20</f>
        <v>0.112</v>
      </c>
      <c r="E8" s="92">
        <v>5.5999999999999999E-3</v>
      </c>
      <c r="F8" s="92">
        <v>15</v>
      </c>
      <c r="G8" s="92">
        <v>0</v>
      </c>
    </row>
    <row r="9" spans="1:7" ht="14.4" thickBot="1" x14ac:dyDescent="0.35">
      <c r="A9" s="95" t="s">
        <v>23</v>
      </c>
      <c r="B9" s="92">
        <v>361</v>
      </c>
      <c r="C9" s="92">
        <v>807.3</v>
      </c>
      <c r="D9" s="92">
        <v>53.1</v>
      </c>
      <c r="E9" s="92">
        <v>70.3</v>
      </c>
      <c r="F9" s="96">
        <v>80000</v>
      </c>
      <c r="G9" s="97">
        <v>85000</v>
      </c>
    </row>
    <row r="10" spans="1:7" x14ac:dyDescent="0.3">
      <c r="A10" s="91" t="s">
        <v>31</v>
      </c>
      <c r="B10" s="93">
        <f>B6+B8</f>
        <v>3.05</v>
      </c>
      <c r="C10" s="235">
        <f t="shared" ref="C10:G11" si="0">C6+C8</f>
        <v>0.65</v>
      </c>
      <c r="D10" s="556">
        <f t="shared" si="0"/>
        <v>0.59297814301457452</v>
      </c>
      <c r="E10" s="235">
        <f t="shared" si="0"/>
        <v>0.1056</v>
      </c>
      <c r="F10" s="235">
        <f t="shared" si="0"/>
        <v>605</v>
      </c>
      <c r="G10" s="235">
        <f t="shared" si="0"/>
        <v>100</v>
      </c>
    </row>
    <row r="11" spans="1:7" ht="14.4" thickBot="1" x14ac:dyDescent="0.35">
      <c r="A11" s="98" t="s">
        <v>32</v>
      </c>
      <c r="B11" s="99">
        <f>B7+B9</f>
        <v>396.9</v>
      </c>
      <c r="C11" s="236">
        <f t="shared" si="0"/>
        <v>814.3</v>
      </c>
      <c r="D11" s="557">
        <f t="shared" si="0"/>
        <v>62.445181880789761</v>
      </c>
      <c r="E11" s="236">
        <f t="shared" si="0"/>
        <v>86.2</v>
      </c>
      <c r="F11" s="236">
        <f t="shared" si="0"/>
        <v>90000</v>
      </c>
      <c r="G11" s="236">
        <f t="shared" si="0"/>
        <v>100000</v>
      </c>
    </row>
    <row r="13" spans="1:7" x14ac:dyDescent="0.3">
      <c r="A13" s="82" t="s">
        <v>35</v>
      </c>
      <c r="D13" s="100">
        <f>B82/0.9</f>
        <v>2.285591063390174E-2</v>
      </c>
    </row>
    <row r="14" spans="1:7" x14ac:dyDescent="0.3">
      <c r="A14" s="82" t="s">
        <v>34</v>
      </c>
      <c r="D14" s="100">
        <f>D13*(D8+D6)/D6</f>
        <v>2.8178110879744148E-2</v>
      </c>
      <c r="E14" s="559"/>
    </row>
    <row r="15" spans="1:7" x14ac:dyDescent="0.3">
      <c r="A15" s="82" t="s">
        <v>37</v>
      </c>
      <c r="D15" s="100">
        <f>B81/0.9</f>
        <v>1.9970165471585866E-2</v>
      </c>
    </row>
    <row r="16" spans="1:7" x14ac:dyDescent="0.3">
      <c r="A16" s="82" t="s">
        <v>42</v>
      </c>
      <c r="D16" s="100">
        <v>2.5999999999999999E-2</v>
      </c>
    </row>
    <row r="18" spans="1:12" x14ac:dyDescent="0.3">
      <c r="A18" s="82" t="s">
        <v>33</v>
      </c>
    </row>
    <row r="20" spans="1:12" x14ac:dyDescent="0.3">
      <c r="A20" s="82" t="s">
        <v>41</v>
      </c>
    </row>
    <row r="21" spans="1:12" x14ac:dyDescent="0.3">
      <c r="A21" s="82" t="s">
        <v>40</v>
      </c>
    </row>
    <row r="22" spans="1:12" x14ac:dyDescent="0.3">
      <c r="A22" s="82" t="s">
        <v>36</v>
      </c>
    </row>
    <row r="25" spans="1:12" s="102" customFormat="1" ht="20.25" customHeight="1" x14ac:dyDescent="0.3">
      <c r="A25" s="237" t="s">
        <v>263</v>
      </c>
    </row>
    <row r="26" spans="1:12" ht="18" customHeight="1" x14ac:dyDescent="0.3">
      <c r="A26" s="673" t="s">
        <v>123</v>
      </c>
      <c r="B26" s="674"/>
      <c r="C26" s="104"/>
      <c r="D26" s="673" t="s">
        <v>124</v>
      </c>
      <c r="E26" s="674"/>
      <c r="F26" s="102"/>
      <c r="G26" s="102"/>
      <c r="H26" s="102"/>
      <c r="I26" s="102"/>
      <c r="J26" s="102"/>
      <c r="K26" s="102"/>
    </row>
    <row r="27" spans="1:12" ht="18" customHeight="1" x14ac:dyDescent="0.3">
      <c r="A27" s="118">
        <v>10000</v>
      </c>
      <c r="B27" s="103" t="s">
        <v>127</v>
      </c>
      <c r="C27" s="105"/>
      <c r="D27" s="106">
        <v>11000</v>
      </c>
      <c r="E27" s="103" t="s">
        <v>121</v>
      </c>
      <c r="F27" s="102"/>
      <c r="G27" s="257" t="s">
        <v>175</v>
      </c>
      <c r="H27" s="256"/>
      <c r="I27" s="102"/>
      <c r="J27" s="102"/>
      <c r="K27" s="102"/>
    </row>
    <row r="28" spans="1:12" ht="18" customHeight="1" x14ac:dyDescent="0.3">
      <c r="A28" s="119">
        <v>6800</v>
      </c>
      <c r="B28" s="107" t="s">
        <v>128</v>
      </c>
      <c r="C28" s="105"/>
      <c r="D28" s="106">
        <v>9000</v>
      </c>
      <c r="E28" s="107" t="s">
        <v>122</v>
      </c>
      <c r="F28" s="102"/>
      <c r="G28" s="102"/>
      <c r="H28" s="102"/>
      <c r="I28" s="102"/>
      <c r="J28" s="102"/>
      <c r="K28" s="102"/>
      <c r="L28" s="102"/>
    </row>
    <row r="29" spans="1:12" ht="18" customHeight="1" x14ac:dyDescent="0.3">
      <c r="A29" s="562">
        <v>8185</v>
      </c>
      <c r="B29" s="563" t="s">
        <v>387</v>
      </c>
      <c r="C29" s="105"/>
      <c r="D29" s="564">
        <v>10415</v>
      </c>
      <c r="E29" s="563" t="s">
        <v>387</v>
      </c>
      <c r="F29" s="102"/>
      <c r="G29" s="102"/>
      <c r="H29" s="102"/>
      <c r="I29" s="102"/>
      <c r="J29" s="102"/>
      <c r="K29" s="102"/>
      <c r="L29" s="102"/>
    </row>
    <row r="30" spans="1:12" ht="18" customHeight="1" x14ac:dyDescent="0.3">
      <c r="A30" s="119">
        <v>6798</v>
      </c>
      <c r="B30" s="103" t="s">
        <v>129</v>
      </c>
      <c r="C30" s="102"/>
      <c r="D30" s="106">
        <v>8687</v>
      </c>
      <c r="E30" s="103" t="s">
        <v>174</v>
      </c>
      <c r="F30" s="102"/>
      <c r="G30" s="102"/>
      <c r="H30" s="102"/>
      <c r="I30" s="102"/>
      <c r="J30" s="102"/>
      <c r="K30" s="102"/>
      <c r="L30" s="102"/>
    </row>
    <row r="31" spans="1:12" ht="24.75" customHeight="1" x14ac:dyDescent="0.3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</row>
    <row r="32" spans="1:12" ht="21" customHeight="1" x14ac:dyDescent="0.3">
      <c r="A32" s="238" t="s">
        <v>50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</row>
    <row r="33" spans="1:12" ht="15.75" customHeight="1" thickBot="1" x14ac:dyDescent="0.35">
      <c r="A33" s="117"/>
      <c r="B33" s="102"/>
      <c r="C33" s="102"/>
      <c r="D33" s="102"/>
      <c r="E33" s="102"/>
      <c r="F33" s="102"/>
      <c r="I33" s="102"/>
      <c r="J33" s="102"/>
      <c r="K33" s="102"/>
      <c r="L33" s="102"/>
    </row>
    <row r="34" spans="1:12" ht="18.75" customHeight="1" thickBot="1" x14ac:dyDescent="0.35">
      <c r="A34" s="237" t="s">
        <v>262</v>
      </c>
      <c r="B34" s="102"/>
      <c r="C34" s="108" t="s">
        <v>116</v>
      </c>
      <c r="D34" s="108" t="s">
        <v>117</v>
      </c>
      <c r="E34" s="102"/>
      <c r="F34" s="116" t="s">
        <v>120</v>
      </c>
      <c r="G34" s="102"/>
      <c r="H34" s="109" t="s">
        <v>116</v>
      </c>
      <c r="I34" s="109" t="s">
        <v>117</v>
      </c>
      <c r="K34" s="102"/>
      <c r="L34" s="102"/>
    </row>
    <row r="35" spans="1:12" ht="18.75" customHeight="1" x14ac:dyDescent="0.3">
      <c r="A35" s="675" t="s">
        <v>118</v>
      </c>
      <c r="B35" s="110" t="s">
        <v>49</v>
      </c>
      <c r="C35" s="233">
        <f>$C$11*($D$29/$D$30)</f>
        <v>976.27886497064571</v>
      </c>
      <c r="D35" s="233">
        <f>$C$11*('Control Panel'!I17/$D$30)</f>
        <v>976.27886497064571</v>
      </c>
      <c r="E35" s="102"/>
      <c r="F35" s="677" t="s">
        <v>118</v>
      </c>
      <c r="G35" s="111" t="s">
        <v>49</v>
      </c>
      <c r="H35" s="112"/>
      <c r="I35" s="112"/>
      <c r="K35" s="102"/>
      <c r="L35" s="102"/>
    </row>
    <row r="36" spans="1:12" ht="18.75" customHeight="1" thickBot="1" x14ac:dyDescent="0.35">
      <c r="A36" s="676"/>
      <c r="B36" s="113" t="s">
        <v>48</v>
      </c>
      <c r="C36" s="234">
        <f>$C$10*($D$29/$D$30)</f>
        <v>0.77929665016691607</v>
      </c>
      <c r="D36" s="234">
        <f>$C$10*('Control Panel'!I17/$D$30)</f>
        <v>0.77929665016691607</v>
      </c>
      <c r="E36" s="102"/>
      <c r="F36" s="678"/>
      <c r="G36" s="114" t="s">
        <v>48</v>
      </c>
      <c r="H36" s="115"/>
      <c r="I36" s="115"/>
      <c r="K36" s="102"/>
      <c r="L36" s="102"/>
    </row>
    <row r="37" spans="1:12" ht="18.75" customHeight="1" x14ac:dyDescent="0.3">
      <c r="A37" s="675" t="s">
        <v>119</v>
      </c>
      <c r="B37" s="110" t="s">
        <v>49</v>
      </c>
      <c r="C37" s="233">
        <f>$B$52</f>
        <v>476.13473903710951</v>
      </c>
      <c r="D37" s="233">
        <f>$C$52</f>
        <v>476.13473903710951</v>
      </c>
      <c r="E37" s="102"/>
      <c r="F37" s="677" t="s">
        <v>119</v>
      </c>
      <c r="G37" s="111" t="s">
        <v>49</v>
      </c>
      <c r="H37" s="112"/>
      <c r="I37" s="112"/>
      <c r="K37" s="102"/>
      <c r="L37" s="102"/>
    </row>
    <row r="38" spans="1:12" ht="18.75" customHeight="1" thickBot="1" x14ac:dyDescent="0.35">
      <c r="A38" s="676"/>
      <c r="B38" s="113" t="s">
        <v>48</v>
      </c>
      <c r="C38" s="234">
        <f>$B$51</f>
        <v>3.2759544916934122</v>
      </c>
      <c r="D38" s="234">
        <f>$C$51</f>
        <v>3.2759544916934122</v>
      </c>
      <c r="E38" s="102"/>
      <c r="F38" s="678"/>
      <c r="G38" s="114" t="s">
        <v>48</v>
      </c>
      <c r="H38" s="115"/>
      <c r="I38" s="115"/>
      <c r="K38" s="102"/>
      <c r="L38" s="102"/>
    </row>
    <row r="39" spans="1:12" x14ac:dyDescent="0.3">
      <c r="A39" s="86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</row>
    <row r="42" spans="1:12" ht="14.4" x14ac:dyDescent="0.3">
      <c r="A42" s="232" t="s">
        <v>258</v>
      </c>
    </row>
    <row r="43" spans="1:12" ht="14.4" thickBot="1" x14ac:dyDescent="0.35">
      <c r="A43" s="101"/>
    </row>
    <row r="44" spans="1:12" ht="15.75" customHeight="1" thickBot="1" x14ac:dyDescent="0.35">
      <c r="A44" s="101"/>
      <c r="B44" s="216" t="s">
        <v>116</v>
      </c>
      <c r="C44" s="215" t="s">
        <v>132</v>
      </c>
    </row>
    <row r="45" spans="1:12" ht="19.5" customHeight="1" thickBot="1" x14ac:dyDescent="0.35">
      <c r="A45" s="217" t="s">
        <v>260</v>
      </c>
      <c r="B45" s="222">
        <f>$A$29</f>
        <v>8185</v>
      </c>
      <c r="C45" s="219">
        <f>'Control Panel'!$I$18</f>
        <v>8185</v>
      </c>
    </row>
    <row r="46" spans="1:12" ht="15.75" customHeight="1" x14ac:dyDescent="0.3">
      <c r="A46" s="218" t="s">
        <v>261</v>
      </c>
      <c r="B46" s="214"/>
      <c r="C46" s="85"/>
    </row>
    <row r="47" spans="1:12" ht="15.75" customHeight="1" x14ac:dyDescent="0.3">
      <c r="A47" s="225" t="s">
        <v>21</v>
      </c>
      <c r="B47" s="223">
        <f>$B$62*B45/1000</f>
        <v>3.2759544916934122</v>
      </c>
      <c r="C47" s="220">
        <f>$B$62*C45/1000</f>
        <v>3.2759544916934122</v>
      </c>
    </row>
    <row r="48" spans="1:12" ht="15.75" customHeight="1" x14ac:dyDescent="0.3">
      <c r="A48" s="225" t="s">
        <v>20</v>
      </c>
      <c r="B48" s="223">
        <f>SUM($C$62:$G$62)*B45/1000</f>
        <v>41.828616588129918</v>
      </c>
      <c r="C48" s="220">
        <f>SUM($C$62:$G$62)*C45/1000</f>
        <v>41.828616588129918</v>
      </c>
    </row>
    <row r="49" spans="1:12" ht="15.75" customHeight="1" x14ac:dyDescent="0.3">
      <c r="A49" s="225" t="s">
        <v>259</v>
      </c>
      <c r="B49" s="223">
        <v>0</v>
      </c>
      <c r="C49" s="220">
        <v>0</v>
      </c>
    </row>
    <row r="50" spans="1:12" ht="15.75" customHeight="1" thickBot="1" x14ac:dyDescent="0.35">
      <c r="A50" s="225" t="s">
        <v>23</v>
      </c>
      <c r="B50" s="224">
        <f>$H$62*B45/1000</f>
        <v>434.30612244897958</v>
      </c>
      <c r="C50" s="221">
        <f>$H$62*C45/1000</f>
        <v>434.30612244897958</v>
      </c>
    </row>
    <row r="51" spans="1:12" ht="15.75" customHeight="1" x14ac:dyDescent="0.3">
      <c r="A51" s="217" t="s">
        <v>31</v>
      </c>
      <c r="B51" s="227">
        <f>B47</f>
        <v>3.2759544916934122</v>
      </c>
      <c r="C51" s="228">
        <f>C47</f>
        <v>3.2759544916934122</v>
      </c>
    </row>
    <row r="52" spans="1:12" ht="15.75" customHeight="1" thickBot="1" x14ac:dyDescent="0.35">
      <c r="A52" s="226" t="s">
        <v>32</v>
      </c>
      <c r="B52" s="229">
        <f>B48+B50</f>
        <v>476.13473903710951</v>
      </c>
      <c r="C52" s="230">
        <f>C48+C50</f>
        <v>476.13473903710951</v>
      </c>
    </row>
    <row r="53" spans="1:12" x14ac:dyDescent="0.3">
      <c r="B53" s="102"/>
      <c r="C53" s="102"/>
    </row>
    <row r="54" spans="1:12" ht="18.75" customHeight="1" thickBot="1" x14ac:dyDescent="0.35">
      <c r="A54" s="197" t="s">
        <v>388</v>
      </c>
    </row>
    <row r="55" spans="1:12" s="123" customFormat="1" ht="14.4" thickBot="1" x14ac:dyDescent="0.35">
      <c r="A55" s="206" t="s">
        <v>257</v>
      </c>
      <c r="B55" s="209">
        <f>'Methane Leakage'!$C$5</f>
        <v>0.02</v>
      </c>
      <c r="C55" s="121"/>
      <c r="D55" s="121"/>
      <c r="E55" s="121"/>
      <c r="F55" s="121"/>
      <c r="G55" s="121"/>
      <c r="H55" s="121"/>
      <c r="I55" s="121"/>
      <c r="J55" s="122"/>
      <c r="K55" s="121"/>
      <c r="L55" s="121"/>
    </row>
    <row r="56" spans="1:12" s="123" customFormat="1" ht="12.75" customHeight="1" x14ac:dyDescent="0.3">
      <c r="A56" s="682" t="s">
        <v>255</v>
      </c>
      <c r="B56" s="684" t="s">
        <v>256</v>
      </c>
      <c r="C56" s="686" t="s">
        <v>242</v>
      </c>
      <c r="D56" s="679" t="s">
        <v>243</v>
      </c>
      <c r="E56" s="680"/>
      <c r="F56" s="681"/>
      <c r="G56" s="660" t="s">
        <v>244</v>
      </c>
      <c r="H56" s="662" t="s">
        <v>240</v>
      </c>
      <c r="I56" s="122"/>
      <c r="J56" s="121"/>
      <c r="K56" s="121"/>
    </row>
    <row r="57" spans="1:12" s="123" customFormat="1" x14ac:dyDescent="0.3">
      <c r="A57" s="683"/>
      <c r="B57" s="685"/>
      <c r="C57" s="687"/>
      <c r="D57" s="211" t="s">
        <v>245</v>
      </c>
      <c r="E57" s="212" t="s">
        <v>246</v>
      </c>
      <c r="F57" s="213" t="s">
        <v>247</v>
      </c>
      <c r="G57" s="661"/>
      <c r="H57" s="663"/>
      <c r="I57" s="121"/>
      <c r="J57" s="121"/>
      <c r="K57" s="121"/>
    </row>
    <row r="58" spans="1:12" s="123" customFormat="1" ht="13.5" customHeight="1" x14ac:dyDescent="0.3">
      <c r="A58" s="207" t="s">
        <v>184</v>
      </c>
      <c r="B58" s="198">
        <f>D90*($B$55/0.021)</f>
        <v>0.27630316633667285</v>
      </c>
      <c r="C58" s="199">
        <f>F90*($B$55/0.021)</f>
        <v>0.46024987518023386</v>
      </c>
      <c r="D58" s="198">
        <f>C98</f>
        <v>2.1004017306377172</v>
      </c>
      <c r="E58" s="199"/>
      <c r="F58" s="200"/>
      <c r="G58" s="201"/>
      <c r="H58" s="188"/>
      <c r="I58" s="186"/>
      <c r="J58" s="121"/>
      <c r="K58" s="121"/>
    </row>
    <row r="59" spans="1:12" s="123" customFormat="1" x14ac:dyDescent="0.3">
      <c r="A59" s="207" t="s">
        <v>185</v>
      </c>
      <c r="B59" s="198">
        <f>D91*($B$55/0.021)</f>
        <v>3.4981386267567117E-2</v>
      </c>
      <c r="C59" s="199">
        <f>F91*($B$55/0.021)</f>
        <v>0.90771503160546108</v>
      </c>
      <c r="D59" s="198"/>
      <c r="E59" s="199">
        <f>C99</f>
        <v>0.83718282237824082</v>
      </c>
      <c r="F59" s="200"/>
      <c r="G59" s="198"/>
      <c r="H59" s="188"/>
      <c r="I59" s="186"/>
      <c r="J59" s="121"/>
      <c r="K59" s="121"/>
    </row>
    <row r="60" spans="1:12" s="123" customFormat="1" x14ac:dyDescent="0.3">
      <c r="A60" s="207" t="s">
        <v>186</v>
      </c>
      <c r="B60" s="198">
        <f>D92*($B$55/0.021)</f>
        <v>8.8954236851277763E-2</v>
      </c>
      <c r="C60" s="199">
        <f>F92*($B$55/0.021)</f>
        <v>4.2615729183354987E-3</v>
      </c>
      <c r="D60" s="198"/>
      <c r="E60" s="199"/>
      <c r="F60" s="200">
        <f>C100</f>
        <v>0.76617146234763267</v>
      </c>
      <c r="G60" s="198">
        <f>D102</f>
        <v>3.4416599389302222E-2</v>
      </c>
      <c r="H60" s="188"/>
      <c r="I60" s="129"/>
      <c r="J60" s="121"/>
      <c r="K60" s="121"/>
    </row>
    <row r="61" spans="1:12" s="123" customFormat="1" x14ac:dyDescent="0.3">
      <c r="A61" s="208" t="s">
        <v>241</v>
      </c>
      <c r="B61" s="198"/>
      <c r="C61" s="199"/>
      <c r="D61" s="198"/>
      <c r="E61" s="199"/>
      <c r="F61" s="200"/>
      <c r="G61" s="198"/>
      <c r="H61" s="188">
        <f>D104</f>
        <v>53.061224489795919</v>
      </c>
      <c r="I61" s="129"/>
      <c r="J61" s="121"/>
      <c r="L61" s="120"/>
    </row>
    <row r="62" spans="1:12" s="123" customFormat="1" ht="14.4" thickBot="1" x14ac:dyDescent="0.35">
      <c r="A62" s="210" t="s">
        <v>248</v>
      </c>
      <c r="B62" s="202">
        <f t="shared" ref="B62:H62" si="1">SUM(B58:B61)</f>
        <v>0.40023878945551772</v>
      </c>
      <c r="C62" s="203">
        <f t="shared" si="1"/>
        <v>1.3722264797040304</v>
      </c>
      <c r="D62" s="203">
        <f t="shared" si="1"/>
        <v>2.1004017306377172</v>
      </c>
      <c r="E62" s="203">
        <f>SUM(E58:E61)</f>
        <v>0.83718282237824082</v>
      </c>
      <c r="F62" s="204">
        <f t="shared" si="1"/>
        <v>0.76617146234763267</v>
      </c>
      <c r="G62" s="202">
        <f t="shared" si="1"/>
        <v>3.4416599389302222E-2</v>
      </c>
      <c r="H62" s="205">
        <f t="shared" si="1"/>
        <v>53.061224489795919</v>
      </c>
      <c r="I62" s="129"/>
      <c r="J62" s="121"/>
      <c r="L62" s="120"/>
    </row>
    <row r="65" spans="1:13" s="123" customFormat="1" ht="25.5" customHeight="1" thickBot="1" x14ac:dyDescent="0.35">
      <c r="A65" s="120" t="s">
        <v>197</v>
      </c>
      <c r="B65" s="121"/>
      <c r="C65" s="121"/>
      <c r="D65" s="121"/>
      <c r="E65" s="121"/>
      <c r="F65" s="121"/>
      <c r="G65" s="121"/>
      <c r="H65" s="121"/>
      <c r="I65" s="121"/>
      <c r="J65" s="121"/>
      <c r="K65" s="122"/>
      <c r="L65" s="121"/>
    </row>
    <row r="66" spans="1:13" s="123" customFormat="1" ht="55.2" x14ac:dyDescent="0.3">
      <c r="A66" s="124"/>
      <c r="B66" s="560" t="s">
        <v>198</v>
      </c>
      <c r="C66" s="560" t="s">
        <v>199</v>
      </c>
      <c r="D66" s="125" t="s">
        <v>200</v>
      </c>
      <c r="E66" s="126" t="s">
        <v>201</v>
      </c>
      <c r="F66" s="126" t="s">
        <v>201</v>
      </c>
      <c r="G66" s="560" t="s">
        <v>202</v>
      </c>
      <c r="H66" s="125" t="s">
        <v>203</v>
      </c>
      <c r="I66" s="127" t="s">
        <v>204</v>
      </c>
      <c r="J66" s="121"/>
      <c r="K66" s="121"/>
      <c r="L66" s="121"/>
      <c r="M66" s="121"/>
    </row>
    <row r="67" spans="1:13" s="123" customFormat="1" x14ac:dyDescent="0.3">
      <c r="A67" s="128"/>
      <c r="B67" s="561" t="s">
        <v>205</v>
      </c>
      <c r="C67" s="561" t="s">
        <v>205</v>
      </c>
      <c r="D67" s="129" t="s">
        <v>205</v>
      </c>
      <c r="E67" s="130" t="s">
        <v>181</v>
      </c>
      <c r="F67" s="130" t="s">
        <v>249</v>
      </c>
      <c r="G67" s="561" t="s">
        <v>181</v>
      </c>
      <c r="H67" s="129"/>
      <c r="I67" s="131"/>
      <c r="J67" s="121"/>
      <c r="K67" s="121"/>
      <c r="L67" s="121"/>
      <c r="M67" s="121"/>
    </row>
    <row r="68" spans="1:13" s="123" customFormat="1" x14ac:dyDescent="0.3">
      <c r="A68" s="132" t="s">
        <v>206</v>
      </c>
      <c r="B68" s="322">
        <v>125.6</v>
      </c>
      <c r="C68" s="322">
        <v>30.6</v>
      </c>
      <c r="D68" s="122">
        <f>C68*B125</f>
        <v>10.555513568836009</v>
      </c>
      <c r="E68" s="133">
        <f>B68+D68</f>
        <v>136.155513568836</v>
      </c>
      <c r="F68" s="133">
        <f>E68/21</f>
        <v>6.4835958842302857</v>
      </c>
      <c r="G68" s="322">
        <v>10.8</v>
      </c>
      <c r="H68" s="134">
        <f>E68/(E72-E71)</f>
        <v>0.69034579759886305</v>
      </c>
      <c r="I68" s="135">
        <f>E68/E72</f>
        <v>0.60318400922579007</v>
      </c>
      <c r="J68" s="121"/>
      <c r="K68" s="121"/>
      <c r="L68" s="121"/>
      <c r="M68" s="121"/>
    </row>
    <row r="69" spans="1:13" s="123" customFormat="1" x14ac:dyDescent="0.3">
      <c r="A69" s="132" t="s">
        <v>207</v>
      </c>
      <c r="B69" s="322">
        <v>17.100000000000001</v>
      </c>
      <c r="C69" s="322">
        <v>0.4</v>
      </c>
      <c r="D69" s="122">
        <f>C69*B125</f>
        <v>0.13798056952726809</v>
      </c>
      <c r="E69" s="133">
        <f>B69+D69</f>
        <v>17.23798056952727</v>
      </c>
      <c r="F69" s="133">
        <f t="shared" ref="F69:F72" si="2">E69/21</f>
        <v>0.82085621759653671</v>
      </c>
      <c r="G69" s="322">
        <v>21.3</v>
      </c>
      <c r="H69" s="134">
        <f>E69/(E72-E71)</f>
        <v>8.7401289403147467E-2</v>
      </c>
      <c r="I69" s="135">
        <f>E69/E72</f>
        <v>7.6366163648796975E-2</v>
      </c>
      <c r="J69" s="121"/>
      <c r="K69" s="121"/>
      <c r="L69" s="121"/>
      <c r="M69" s="121"/>
    </row>
    <row r="70" spans="1:13" s="123" customFormat="1" x14ac:dyDescent="0.3">
      <c r="A70" s="132" t="s">
        <v>186</v>
      </c>
      <c r="B70" s="322">
        <v>43.8</v>
      </c>
      <c r="C70" s="322">
        <v>0.1</v>
      </c>
      <c r="D70" s="122">
        <f>C70*B125</f>
        <v>3.4495142381817022E-2</v>
      </c>
      <c r="E70" s="133">
        <f>B70+D70</f>
        <v>43.834495142381812</v>
      </c>
      <c r="F70" s="133">
        <f t="shared" si="2"/>
        <v>2.087356911541991</v>
      </c>
      <c r="G70" s="322">
        <v>0.1</v>
      </c>
      <c r="H70" s="134">
        <f>E70/(E72-E71)</f>
        <v>0.22225291299798933</v>
      </c>
      <c r="I70" s="135">
        <f>E70/E72</f>
        <v>0.19419166972627153</v>
      </c>
      <c r="J70" s="121"/>
      <c r="K70" s="121"/>
      <c r="L70" s="121"/>
      <c r="M70" s="121"/>
    </row>
    <row r="71" spans="1:13" s="123" customFormat="1" x14ac:dyDescent="0.3">
      <c r="A71" s="132" t="s">
        <v>188</v>
      </c>
      <c r="B71" s="322">
        <v>28.5</v>
      </c>
      <c r="C71" s="322">
        <v>0</v>
      </c>
      <c r="D71" s="122">
        <f>C71*B125</f>
        <v>0</v>
      </c>
      <c r="E71" s="133">
        <f>B71+D71</f>
        <v>28.5</v>
      </c>
      <c r="F71" s="133">
        <f t="shared" si="2"/>
        <v>1.3571428571428572</v>
      </c>
      <c r="G71" s="322">
        <v>0</v>
      </c>
      <c r="H71" s="129" t="s">
        <v>208</v>
      </c>
      <c r="I71" s="135">
        <f>E71/E72</f>
        <v>0.12625815739914131</v>
      </c>
      <c r="J71" s="121"/>
      <c r="K71" s="121"/>
      <c r="L71" s="121"/>
      <c r="M71" s="121"/>
    </row>
    <row r="72" spans="1:13" s="123" customFormat="1" ht="14.4" thickBot="1" x14ac:dyDescent="0.35">
      <c r="A72" s="136" t="s">
        <v>85</v>
      </c>
      <c r="B72" s="323">
        <f>SUM(B68:B71)</f>
        <v>215</v>
      </c>
      <c r="C72" s="323">
        <f>SUM(C68:C71)</f>
        <v>31.1</v>
      </c>
      <c r="D72" s="137">
        <f>C72*B125</f>
        <v>10.727989280745096</v>
      </c>
      <c r="E72" s="138">
        <f>B72+D72</f>
        <v>225.72798928074511</v>
      </c>
      <c r="F72" s="138">
        <f t="shared" si="2"/>
        <v>10.748951870511672</v>
      </c>
      <c r="G72" s="323">
        <f>SUM(G68:G71)</f>
        <v>32.200000000000003</v>
      </c>
      <c r="H72" s="554">
        <f>SUM(H68:H70)</f>
        <v>0.99999999999999989</v>
      </c>
      <c r="I72" s="139">
        <f>SUM(I68:I71)</f>
        <v>1</v>
      </c>
      <c r="J72" s="121"/>
      <c r="K72" s="121"/>
      <c r="L72" s="121"/>
      <c r="M72" s="121"/>
    </row>
    <row r="73" spans="1:13" s="123" customFormat="1" x14ac:dyDescent="0.3">
      <c r="B73" s="121"/>
      <c r="C73" s="121"/>
      <c r="D73" s="121"/>
      <c r="E73" s="140"/>
      <c r="F73" s="140"/>
      <c r="G73" s="121"/>
      <c r="H73" s="121"/>
      <c r="I73" s="121"/>
      <c r="J73" s="121"/>
      <c r="K73" s="121"/>
      <c r="L73" s="121"/>
      <c r="M73" s="121"/>
    </row>
    <row r="74" spans="1:13" s="123" customFormat="1" x14ac:dyDescent="0.3">
      <c r="A74" s="141" t="s">
        <v>209</v>
      </c>
      <c r="B74" s="142">
        <f>E68</f>
        <v>136.155513568836</v>
      </c>
      <c r="C74" s="143" t="s">
        <v>181</v>
      </c>
      <c r="D74" s="121"/>
      <c r="E74" s="121"/>
      <c r="F74" s="121"/>
      <c r="G74" s="121"/>
      <c r="H74" s="121"/>
      <c r="I74" s="121"/>
      <c r="J74" s="121"/>
      <c r="K74" s="121"/>
      <c r="L74" s="121"/>
      <c r="M74" s="121"/>
    </row>
    <row r="75" spans="1:13" s="123" customFormat="1" x14ac:dyDescent="0.3">
      <c r="A75" s="144" t="s">
        <v>209</v>
      </c>
      <c r="B75" s="145">
        <f>1000*B74/21*1/19.23</f>
        <v>337.16047239887081</v>
      </c>
      <c r="C75" s="146" t="s">
        <v>210</v>
      </c>
      <c r="D75" s="121"/>
      <c r="E75" s="121"/>
      <c r="F75" s="121"/>
      <c r="G75" s="121"/>
      <c r="H75" s="121"/>
      <c r="I75" s="121"/>
      <c r="J75" s="121"/>
      <c r="K75" s="121"/>
      <c r="L75" s="121"/>
      <c r="M75" s="121"/>
    </row>
    <row r="76" spans="1:13" s="123" customFormat="1" x14ac:dyDescent="0.3">
      <c r="A76" s="147" t="s">
        <v>211</v>
      </c>
      <c r="B76" s="148">
        <f>E72</f>
        <v>225.72798928074511</v>
      </c>
      <c r="C76" s="143" t="s">
        <v>181</v>
      </c>
      <c r="D76" s="121"/>
      <c r="E76" s="121"/>
      <c r="F76" s="121"/>
      <c r="G76" s="121"/>
      <c r="H76" s="121"/>
      <c r="I76" s="121"/>
      <c r="J76" s="121"/>
      <c r="K76" s="121"/>
      <c r="L76" s="121"/>
      <c r="M76" s="121"/>
    </row>
    <row r="77" spans="1:13" s="123" customFormat="1" x14ac:dyDescent="0.3">
      <c r="A77" s="149" t="s">
        <v>211</v>
      </c>
      <c r="B77" s="150">
        <f>1000*B76/21*1/19.23</f>
        <v>558.96785598084614</v>
      </c>
      <c r="C77" s="146" t="s">
        <v>210</v>
      </c>
      <c r="D77" s="121"/>
      <c r="E77" s="121"/>
      <c r="F77" s="121"/>
      <c r="G77" s="121"/>
      <c r="H77" s="121"/>
      <c r="I77" s="121"/>
      <c r="J77" s="121"/>
      <c r="K77" s="121"/>
      <c r="L77" s="121"/>
      <c r="M77" s="121"/>
    </row>
    <row r="78" spans="1:13" s="123" customFormat="1" ht="13.5" customHeight="1" x14ac:dyDescent="0.3">
      <c r="A78" s="151" t="s">
        <v>212</v>
      </c>
      <c r="B78" s="148">
        <f>E72-E71</f>
        <v>197.22798928074511</v>
      </c>
      <c r="C78" s="143" t="s">
        <v>181</v>
      </c>
      <c r="D78" s="121"/>
      <c r="E78" s="121"/>
      <c r="F78" s="121"/>
      <c r="G78" s="121"/>
      <c r="H78" s="121"/>
      <c r="I78" s="121"/>
      <c r="J78" s="121"/>
      <c r="K78" s="121"/>
      <c r="L78" s="152"/>
    </row>
    <row r="79" spans="1:13" s="123" customFormat="1" x14ac:dyDescent="0.3">
      <c r="A79" s="153" t="s">
        <v>212</v>
      </c>
      <c r="B79" s="150">
        <f>1000*B78/21*1/19.23</f>
        <v>488.39360443935595</v>
      </c>
      <c r="C79" s="146" t="s">
        <v>210</v>
      </c>
      <c r="D79" s="121"/>
      <c r="E79" s="121"/>
      <c r="F79" s="121"/>
      <c r="G79" s="121"/>
      <c r="H79" s="121"/>
      <c r="I79" s="121"/>
      <c r="J79" s="121"/>
      <c r="K79" s="121"/>
      <c r="L79" s="121"/>
    </row>
    <row r="80" spans="1:13" s="123" customFormat="1" x14ac:dyDescent="0.3">
      <c r="A80" s="154" t="s">
        <v>213</v>
      </c>
      <c r="B80" s="155">
        <f>G72-G71</f>
        <v>32.200000000000003</v>
      </c>
      <c r="C80" s="140" t="s">
        <v>181</v>
      </c>
      <c r="D80" s="121"/>
      <c r="E80" s="121"/>
      <c r="F80" s="121"/>
      <c r="G80" s="121"/>
      <c r="H80" s="121"/>
      <c r="I80" s="121"/>
      <c r="J80" s="121"/>
      <c r="K80" s="121"/>
      <c r="L80" s="121"/>
    </row>
    <row r="81" spans="1:13" s="123" customFormat="1" x14ac:dyDescent="0.3">
      <c r="A81" s="151" t="s">
        <v>214</v>
      </c>
      <c r="B81" s="565">
        <f>B79/(B109+B75)</f>
        <v>1.7973148924427279E-2</v>
      </c>
      <c r="C81" s="239" t="s">
        <v>215</v>
      </c>
      <c r="D81" s="231"/>
      <c r="E81" s="231"/>
      <c r="F81" s="231"/>
      <c r="G81" s="231"/>
      <c r="H81" s="231"/>
      <c r="I81" s="231"/>
      <c r="J81" s="231"/>
      <c r="K81" s="121"/>
      <c r="L81" s="121"/>
    </row>
    <row r="82" spans="1:13" s="123" customFormat="1" x14ac:dyDescent="0.3">
      <c r="A82" s="156" t="s">
        <v>216</v>
      </c>
      <c r="B82" s="566">
        <f>B77/(B109+B75)</f>
        <v>2.0570319570511565E-2</v>
      </c>
      <c r="C82" s="239"/>
      <c r="D82" s="231"/>
      <c r="E82" s="231"/>
      <c r="F82" s="231"/>
      <c r="G82" s="231"/>
      <c r="H82" s="231"/>
      <c r="I82" s="231"/>
      <c r="J82" s="231"/>
      <c r="K82" s="121"/>
      <c r="L82" s="121"/>
    </row>
    <row r="83" spans="1:13" s="123" customFormat="1" x14ac:dyDescent="0.3">
      <c r="A83" s="153" t="s">
        <v>217</v>
      </c>
      <c r="B83" s="157">
        <f>B75/(B109+B75)</f>
        <v>1.2407687829596899E-2</v>
      </c>
      <c r="C83" s="239"/>
      <c r="D83" s="231"/>
      <c r="E83" s="231"/>
      <c r="F83" s="231"/>
      <c r="G83" s="231"/>
      <c r="H83" s="231"/>
      <c r="I83" s="231"/>
      <c r="J83" s="231"/>
      <c r="K83" s="121"/>
      <c r="L83" s="121"/>
    </row>
    <row r="84" spans="1:13" s="123" customFormat="1" x14ac:dyDescent="0.3">
      <c r="A84" s="154"/>
      <c r="B84" s="567"/>
      <c r="C84" s="568"/>
      <c r="D84" s="231"/>
      <c r="E84" s="231"/>
      <c r="F84" s="231"/>
      <c r="G84" s="231"/>
      <c r="H84" s="231"/>
      <c r="I84" s="231"/>
      <c r="J84" s="231"/>
      <c r="K84" s="121"/>
      <c r="L84" s="121"/>
    </row>
    <row r="85" spans="1:13" s="123" customFormat="1" ht="14.4" thickBot="1" x14ac:dyDescent="0.35">
      <c r="A85" s="154"/>
      <c r="B85" s="567"/>
      <c r="C85" s="568"/>
      <c r="D85" s="231"/>
      <c r="E85" s="231"/>
      <c r="F85" s="231"/>
      <c r="G85" s="231"/>
      <c r="H85" s="231"/>
      <c r="I85" s="231"/>
      <c r="J85" s="231"/>
      <c r="K85" s="121"/>
      <c r="L85" s="121"/>
    </row>
    <row r="86" spans="1:13" s="123" customFormat="1" ht="14.4" thickBot="1" x14ac:dyDescent="0.35">
      <c r="A86" s="161" t="s">
        <v>178</v>
      </c>
      <c r="B86" s="255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</row>
    <row r="87" spans="1:13" s="123" customFormat="1" ht="14.4" thickBot="1" x14ac:dyDescent="0.35"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</row>
    <row r="88" spans="1:13" s="123" customFormat="1" ht="14.4" thickBot="1" x14ac:dyDescent="0.35">
      <c r="A88" s="161" t="s">
        <v>179</v>
      </c>
      <c r="B88" s="664" t="s">
        <v>48</v>
      </c>
      <c r="C88" s="666"/>
      <c r="D88" s="667"/>
      <c r="E88" s="176" t="s">
        <v>49</v>
      </c>
      <c r="F88" s="162"/>
      <c r="G88" s="121"/>
      <c r="H88" s="121"/>
      <c r="I88" s="121"/>
      <c r="J88" s="121"/>
      <c r="K88" s="121"/>
      <c r="L88" s="121"/>
      <c r="M88" s="121"/>
    </row>
    <row r="89" spans="1:13" s="123" customFormat="1" ht="41.4" x14ac:dyDescent="0.3">
      <c r="A89" s="163" t="s">
        <v>180</v>
      </c>
      <c r="B89" s="251" t="s">
        <v>181</v>
      </c>
      <c r="C89" s="164" t="s">
        <v>250</v>
      </c>
      <c r="D89" s="181" t="s">
        <v>251</v>
      </c>
      <c r="E89" s="165" t="s">
        <v>182</v>
      </c>
      <c r="F89" s="184" t="s">
        <v>252</v>
      </c>
      <c r="G89" s="121"/>
      <c r="H89" s="121"/>
      <c r="I89" s="121"/>
      <c r="J89" s="121"/>
      <c r="K89" s="121"/>
      <c r="L89" s="121"/>
      <c r="M89" s="121"/>
    </row>
    <row r="90" spans="1:13" s="123" customFormat="1" x14ac:dyDescent="0.3">
      <c r="A90" s="166" t="s">
        <v>184</v>
      </c>
      <c r="B90" s="252">
        <f>E68</f>
        <v>136.155513568836</v>
      </c>
      <c r="C90" s="177">
        <f>B90*1000000000/$B$114</f>
        <v>6.0924848177236361</v>
      </c>
      <c r="D90" s="187">
        <f>C90/21</f>
        <v>0.29011832465350651</v>
      </c>
      <c r="E90" s="178">
        <f>G68</f>
        <v>10.8</v>
      </c>
      <c r="F90" s="189">
        <f>E90*1000000000/$B$114</f>
        <v>0.48326236893924557</v>
      </c>
      <c r="G90" s="121"/>
      <c r="H90" s="121"/>
      <c r="I90" s="121"/>
      <c r="J90" s="121"/>
      <c r="K90" s="121"/>
      <c r="L90" s="121"/>
      <c r="M90" s="121"/>
    </row>
    <row r="91" spans="1:13" s="123" customFormat="1" x14ac:dyDescent="0.3">
      <c r="A91" s="166" t="s">
        <v>185</v>
      </c>
      <c r="B91" s="252">
        <f>E69</f>
        <v>17.23798056952727</v>
      </c>
      <c r="C91" s="177">
        <f t="shared" ref="C91:C92" si="3">B91*1000000000/$B$114</f>
        <v>0.77133956719985497</v>
      </c>
      <c r="D91" s="187">
        <f t="shared" ref="D91:D94" si="4">C91/21</f>
        <v>3.6730455580945474E-2</v>
      </c>
      <c r="E91" s="178">
        <f>G69</f>
        <v>21.3</v>
      </c>
      <c r="F91" s="189">
        <f t="shared" ref="F91:F92" si="5">E91*1000000000/$B$114</f>
        <v>0.95310078318573421</v>
      </c>
      <c r="G91" s="121"/>
      <c r="H91" s="121"/>
      <c r="I91" s="121"/>
      <c r="J91" s="121"/>
      <c r="K91" s="121"/>
      <c r="L91" s="121"/>
      <c r="M91" s="121"/>
    </row>
    <row r="92" spans="1:13" s="123" customFormat="1" x14ac:dyDescent="0.3">
      <c r="A92" s="166" t="s">
        <v>186</v>
      </c>
      <c r="B92" s="252">
        <f>E70</f>
        <v>43.834495142381812</v>
      </c>
      <c r="C92" s="177">
        <f t="shared" si="3"/>
        <v>1.9614409225706746</v>
      </c>
      <c r="D92" s="187">
        <f t="shared" si="4"/>
        <v>9.3401948693841649E-2</v>
      </c>
      <c r="E92" s="178">
        <f>G70</f>
        <v>0.1</v>
      </c>
      <c r="F92" s="189">
        <f t="shared" si="5"/>
        <v>4.4746515642522739E-3</v>
      </c>
      <c r="G92" s="121"/>
      <c r="I92" s="121"/>
      <c r="J92" s="121"/>
      <c r="K92" s="121"/>
      <c r="L92" s="121"/>
      <c r="M92" s="121"/>
    </row>
    <row r="93" spans="1:13" s="123" customFormat="1" x14ac:dyDescent="0.3">
      <c r="A93" s="166" t="s">
        <v>187</v>
      </c>
      <c r="B93" s="252">
        <f>SUM(B90:B92)</f>
        <v>197.22798928074508</v>
      </c>
      <c r="C93" s="177">
        <f>SUM(C90:C92)</f>
        <v>8.8252653074941669</v>
      </c>
      <c r="D93" s="182">
        <f t="shared" si="4"/>
        <v>0.42025072892829368</v>
      </c>
      <c r="E93" s="178">
        <f>SUM(E90:E92)</f>
        <v>32.200000000000003</v>
      </c>
      <c r="F93" s="253">
        <f>SUM(F90:F92)</f>
        <v>1.440837803689232</v>
      </c>
      <c r="G93" s="129"/>
      <c r="H93" s="549"/>
      <c r="I93" s="121"/>
      <c r="J93" s="121"/>
      <c r="K93" s="121"/>
      <c r="L93" s="121"/>
      <c r="M93" s="121"/>
    </row>
    <row r="94" spans="1:13" s="123" customFormat="1" ht="14.4" thickBot="1" x14ac:dyDescent="0.35">
      <c r="A94" s="167" t="s">
        <v>188</v>
      </c>
      <c r="B94" s="254">
        <f>E71</f>
        <v>28.5</v>
      </c>
      <c r="C94" s="179">
        <f>B94*1000000000/$B$114</f>
        <v>1.275275695811898</v>
      </c>
      <c r="D94" s="183">
        <f t="shared" si="4"/>
        <v>6.0727414086280858E-2</v>
      </c>
      <c r="E94" s="179">
        <f>G71</f>
        <v>0</v>
      </c>
      <c r="F94" s="185">
        <f>E94*1000000000/B114</f>
        <v>0</v>
      </c>
      <c r="G94" s="121"/>
      <c r="H94" s="121"/>
      <c r="I94" s="121"/>
      <c r="J94" s="121"/>
      <c r="K94" s="121"/>
      <c r="L94" s="121"/>
      <c r="M94" s="121"/>
    </row>
    <row r="95" spans="1:13" s="123" customFormat="1" ht="14.4" thickBot="1" x14ac:dyDescent="0.35"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</row>
    <row r="96" spans="1:13" s="123" customFormat="1" ht="14.4" thickBot="1" x14ac:dyDescent="0.35">
      <c r="A96" s="168" t="s">
        <v>189</v>
      </c>
      <c r="B96" s="664" t="s">
        <v>49</v>
      </c>
      <c r="C96" s="665"/>
      <c r="D96" s="121"/>
      <c r="E96" s="121"/>
      <c r="F96" s="121"/>
      <c r="G96" s="121"/>
      <c r="H96" s="121"/>
      <c r="I96" s="121"/>
      <c r="J96" s="121"/>
      <c r="K96" s="121"/>
      <c r="L96" s="121"/>
      <c r="M96" s="121"/>
    </row>
    <row r="97" spans="1:30" s="123" customFormat="1" ht="27.6" x14ac:dyDescent="0.3">
      <c r="A97" s="128"/>
      <c r="B97" s="180" t="s">
        <v>182</v>
      </c>
      <c r="C97" s="190" t="s">
        <v>253</v>
      </c>
      <c r="D97" s="121"/>
      <c r="E97" s="121"/>
      <c r="F97" s="121"/>
      <c r="G97" s="121"/>
      <c r="H97" s="121"/>
      <c r="I97" s="121"/>
      <c r="J97" s="121"/>
      <c r="K97" s="121"/>
      <c r="L97" s="121"/>
      <c r="M97" s="121"/>
    </row>
    <row r="98" spans="1:30" s="123" customFormat="1" x14ac:dyDescent="0.3">
      <c r="A98" s="128" t="s">
        <v>190</v>
      </c>
      <c r="B98" s="169">
        <f>B115*B113*1000/2.2*1/1000*1/1000000</f>
        <v>46.940006400000001</v>
      </c>
      <c r="C98" s="191">
        <f>B98*1000000000/$B$114</f>
        <v>2.1004017306377172</v>
      </c>
      <c r="D98" s="121"/>
      <c r="E98" s="121"/>
      <c r="F98" s="121"/>
      <c r="G98" s="121"/>
      <c r="H98" s="121"/>
      <c r="I98" s="121"/>
      <c r="J98" s="121"/>
      <c r="K98" s="121"/>
      <c r="L98" s="121"/>
      <c r="M98" s="121"/>
    </row>
    <row r="99" spans="1:30" s="123" customFormat="1" x14ac:dyDescent="0.3">
      <c r="A99" s="128" t="s">
        <v>191</v>
      </c>
      <c r="B99" s="170">
        <f>B117*B113*1000/2.2*1/1000*1/1000000</f>
        <v>18.709452800000001</v>
      </c>
      <c r="C99" s="191">
        <f t="shared" ref="C99:C100" si="6">B99*1000000000/$B$114</f>
        <v>0.83718282237824082</v>
      </c>
      <c r="D99" s="121"/>
      <c r="E99" s="121"/>
      <c r="F99" s="121"/>
      <c r="G99" s="121"/>
      <c r="H99" s="121"/>
      <c r="I99" s="121"/>
      <c r="J99" s="121"/>
      <c r="K99" s="121"/>
      <c r="L99" s="121"/>
      <c r="M99" s="121"/>
    </row>
    <row r="100" spans="1:30" s="123" customFormat="1" ht="14.4" thickBot="1" x14ac:dyDescent="0.35">
      <c r="A100" s="171" t="s">
        <v>192</v>
      </c>
      <c r="B100" s="172">
        <f>0.5*B116*B113*1000/2.2*1/1000*1/1000000</f>
        <v>17.122483199999998</v>
      </c>
      <c r="C100" s="192">
        <f t="shared" si="6"/>
        <v>0.76617146234763267</v>
      </c>
      <c r="D100" s="140" t="s">
        <v>193</v>
      </c>
      <c r="E100" s="121"/>
      <c r="F100" s="121"/>
      <c r="G100" s="121"/>
      <c r="H100" s="121"/>
      <c r="I100" s="121"/>
      <c r="J100" s="121"/>
      <c r="K100" s="121"/>
      <c r="L100" s="121"/>
      <c r="M100" s="121"/>
    </row>
    <row r="101" spans="1:30" s="123" customFormat="1" ht="14.4" thickBot="1" x14ac:dyDescent="0.35"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</row>
    <row r="102" spans="1:30" s="123" customFormat="1" ht="28.2" thickBot="1" x14ac:dyDescent="0.35">
      <c r="A102" s="173" t="s">
        <v>194</v>
      </c>
      <c r="B102" s="174">
        <f>0.5*B118*B121*1000/B114</f>
        <v>7.5888601653411408E-2</v>
      </c>
      <c r="C102" s="193" t="s">
        <v>183</v>
      </c>
      <c r="D102" s="194">
        <f>B102/2.205</f>
        <v>3.4416599389302222E-2</v>
      </c>
      <c r="E102" s="175" t="s">
        <v>253</v>
      </c>
      <c r="F102" s="140" t="s">
        <v>195</v>
      </c>
      <c r="G102" s="121"/>
      <c r="H102" s="121"/>
      <c r="I102" s="121"/>
      <c r="J102" s="121"/>
      <c r="K102" s="121"/>
      <c r="L102" s="121"/>
      <c r="M102" s="121"/>
    </row>
    <row r="103" spans="1:30" s="123" customFormat="1" ht="14.4" thickBot="1" x14ac:dyDescent="0.35">
      <c r="B103" s="121"/>
      <c r="C103" s="121"/>
      <c r="D103" s="195"/>
      <c r="E103" s="121"/>
      <c r="F103" s="121"/>
      <c r="G103" s="121"/>
      <c r="H103" s="121"/>
      <c r="I103" s="121"/>
      <c r="J103" s="121"/>
      <c r="K103" s="121"/>
      <c r="L103" s="121"/>
      <c r="M103" s="121"/>
    </row>
    <row r="104" spans="1:30" s="123" customFormat="1" ht="14.4" thickBot="1" x14ac:dyDescent="0.35">
      <c r="A104" s="533" t="s">
        <v>292</v>
      </c>
      <c r="B104" s="534">
        <v>117</v>
      </c>
      <c r="C104" s="193" t="s">
        <v>196</v>
      </c>
      <c r="D104" s="196">
        <f>B104/2.205</f>
        <v>53.061224489795919</v>
      </c>
      <c r="E104" s="175" t="s">
        <v>254</v>
      </c>
      <c r="G104" s="121"/>
      <c r="H104" s="121"/>
      <c r="I104" s="121"/>
      <c r="J104" s="121"/>
      <c r="K104" s="121"/>
      <c r="L104" s="121"/>
      <c r="M104" s="121"/>
    </row>
    <row r="105" spans="1:30" s="123" customFormat="1" x14ac:dyDescent="0.3">
      <c r="A105" s="123" t="s">
        <v>385</v>
      </c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</row>
    <row r="106" spans="1:30" s="123" customFormat="1" x14ac:dyDescent="0.3"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</row>
    <row r="107" spans="1:30" s="123" customFormat="1" x14ac:dyDescent="0.3"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</row>
    <row r="108" spans="1:30" s="123" customFormat="1" x14ac:dyDescent="0.3">
      <c r="A108" s="120" t="s">
        <v>218</v>
      </c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</row>
    <row r="109" spans="1:30" s="123" customFormat="1" ht="12.75" customHeight="1" x14ac:dyDescent="0.3">
      <c r="A109" s="321" t="s">
        <v>364</v>
      </c>
      <c r="B109" s="320">
        <v>26836.352999999999</v>
      </c>
      <c r="C109" s="121" t="s">
        <v>210</v>
      </c>
      <c r="D109" s="140" t="s">
        <v>368</v>
      </c>
      <c r="E109" s="121"/>
      <c r="F109" s="121"/>
      <c r="G109" s="121"/>
      <c r="H109" s="121"/>
      <c r="I109" s="121"/>
      <c r="J109" s="121"/>
      <c r="K109" s="121"/>
      <c r="L109" s="121"/>
      <c r="M109" s="121"/>
      <c r="AD109" s="158"/>
    </row>
    <row r="110" spans="1:30" s="123" customFormat="1" ht="13.5" customHeight="1" x14ac:dyDescent="0.3">
      <c r="A110" s="321" t="s">
        <v>365</v>
      </c>
      <c r="B110" s="320">
        <v>21824.325000000001</v>
      </c>
      <c r="C110" s="121" t="s">
        <v>210</v>
      </c>
      <c r="D110" s="140" t="s">
        <v>369</v>
      </c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AD110" s="158"/>
    </row>
    <row r="111" spans="1:30" s="123" customFormat="1" x14ac:dyDescent="0.3">
      <c r="A111" s="321" t="s">
        <v>378</v>
      </c>
      <c r="B111" s="320">
        <v>1024</v>
      </c>
      <c r="C111" s="121" t="s">
        <v>219</v>
      </c>
      <c r="D111" s="140" t="s">
        <v>379</v>
      </c>
      <c r="E111" s="121"/>
      <c r="F111" s="121"/>
      <c r="G111" s="121"/>
      <c r="H111" s="121"/>
      <c r="I111" s="121"/>
      <c r="J111" s="121"/>
      <c r="K111" s="121"/>
      <c r="L111" s="121"/>
      <c r="M111" s="121"/>
      <c r="O111" s="121"/>
      <c r="P111" s="121"/>
      <c r="Q111" s="121"/>
      <c r="AD111" s="159"/>
    </row>
    <row r="112" spans="1:30" s="123" customFormat="1" x14ac:dyDescent="0.3">
      <c r="A112" s="321" t="s">
        <v>220</v>
      </c>
      <c r="B112" s="320">
        <v>110</v>
      </c>
      <c r="C112" s="121" t="s">
        <v>221</v>
      </c>
      <c r="D112" s="140" t="s">
        <v>222</v>
      </c>
      <c r="E112" s="121"/>
      <c r="F112" s="121"/>
      <c r="G112" s="121"/>
      <c r="H112" s="121"/>
      <c r="I112" s="121"/>
      <c r="J112" s="121"/>
      <c r="K112" s="121"/>
      <c r="L112" s="121"/>
      <c r="M112" s="121"/>
      <c r="O112" s="121"/>
      <c r="P112" s="121"/>
      <c r="Q112" s="121"/>
      <c r="AD112" s="159"/>
    </row>
    <row r="113" spans="1:31" s="123" customFormat="1" x14ac:dyDescent="0.3">
      <c r="A113" s="154" t="s">
        <v>223</v>
      </c>
      <c r="B113" s="571">
        <f>B112*B111</f>
        <v>112640</v>
      </c>
      <c r="C113" s="121" t="s">
        <v>224</v>
      </c>
      <c r="D113" s="140" t="s">
        <v>225</v>
      </c>
      <c r="E113" s="121"/>
      <c r="F113" s="121"/>
      <c r="G113" s="121"/>
      <c r="H113" s="121"/>
      <c r="I113" s="121"/>
      <c r="J113" s="121"/>
      <c r="K113" s="121"/>
      <c r="L113" s="121"/>
      <c r="M113" s="121"/>
      <c r="O113" s="121"/>
      <c r="P113" s="121"/>
      <c r="Q113" s="121"/>
      <c r="AD113" s="159"/>
    </row>
    <row r="114" spans="1:31" s="123" customFormat="1" x14ac:dyDescent="0.3">
      <c r="A114" s="154" t="s">
        <v>226</v>
      </c>
      <c r="B114" s="571">
        <f>B110*B111*1000</f>
        <v>22348108800</v>
      </c>
      <c r="C114" s="121" t="s">
        <v>227</v>
      </c>
      <c r="D114" s="140" t="s">
        <v>228</v>
      </c>
      <c r="E114" s="121"/>
      <c r="F114" s="121"/>
      <c r="G114" s="121"/>
      <c r="H114" s="121"/>
      <c r="I114" s="121"/>
      <c r="J114" s="121"/>
      <c r="K114" s="121"/>
      <c r="L114" s="121"/>
      <c r="M114" s="121"/>
      <c r="O114" s="121"/>
      <c r="P114" s="121"/>
      <c r="Q114" s="121"/>
      <c r="AD114" s="159"/>
    </row>
    <row r="115" spans="1:31" s="123" customFormat="1" x14ac:dyDescent="0.3">
      <c r="A115" s="321" t="s">
        <v>366</v>
      </c>
      <c r="B115" s="320">
        <v>916.79700000000003</v>
      </c>
      <c r="C115" s="121" t="s">
        <v>210</v>
      </c>
      <c r="D115" s="160" t="s">
        <v>370</v>
      </c>
      <c r="E115" s="160"/>
      <c r="F115" s="160"/>
      <c r="G115" s="160"/>
      <c r="H115" s="160"/>
      <c r="I115" s="121"/>
      <c r="J115" s="121"/>
      <c r="K115" s="121"/>
      <c r="L115" s="121"/>
      <c r="M115" s="121"/>
      <c r="O115" s="121"/>
      <c r="P115" s="121"/>
      <c r="Q115" s="121"/>
      <c r="AE115" s="158"/>
    </row>
    <row r="116" spans="1:31" s="123" customFormat="1" x14ac:dyDescent="0.3">
      <c r="A116" s="321" t="s">
        <v>367</v>
      </c>
      <c r="B116" s="320">
        <v>668.84699999999998</v>
      </c>
      <c r="C116" s="121" t="s">
        <v>210</v>
      </c>
      <c r="D116" s="160" t="s">
        <v>370</v>
      </c>
      <c r="E116" s="160"/>
      <c r="F116" s="160"/>
      <c r="G116" s="160"/>
      <c r="H116" s="160"/>
      <c r="I116" s="121"/>
      <c r="J116" s="121"/>
      <c r="K116" s="121"/>
      <c r="L116" s="121"/>
      <c r="M116" s="121"/>
      <c r="O116" s="121"/>
      <c r="P116" s="121"/>
      <c r="Q116" s="121"/>
      <c r="AE116" s="158"/>
    </row>
    <row r="117" spans="1:31" s="123" customFormat="1" x14ac:dyDescent="0.3">
      <c r="A117" s="321" t="s">
        <v>229</v>
      </c>
      <c r="B117" s="320">
        <v>365.41899999999998</v>
      </c>
      <c r="C117" s="121" t="s">
        <v>210</v>
      </c>
      <c r="D117" s="160" t="s">
        <v>370</v>
      </c>
      <c r="E117" s="160"/>
      <c r="F117" s="160"/>
      <c r="G117" s="160"/>
      <c r="H117" s="160"/>
      <c r="I117" s="121"/>
      <c r="J117" s="121"/>
      <c r="K117" s="121"/>
      <c r="L117" s="121"/>
      <c r="M117" s="121"/>
      <c r="O117" s="121"/>
      <c r="P117" s="121"/>
      <c r="Q117" s="121"/>
      <c r="AE117" s="158"/>
    </row>
    <row r="118" spans="1:31" s="123" customFormat="1" x14ac:dyDescent="0.3">
      <c r="A118" s="321" t="s">
        <v>380</v>
      </c>
      <c r="B118" s="320">
        <v>2711.1</v>
      </c>
      <c r="C118" s="121" t="s">
        <v>230</v>
      </c>
      <c r="D118" s="160" t="s">
        <v>381</v>
      </c>
      <c r="E118" s="160"/>
      <c r="F118" s="160"/>
      <c r="G118" s="160"/>
      <c r="H118" s="160"/>
      <c r="I118" s="121"/>
      <c r="J118" s="121"/>
      <c r="K118" s="121"/>
      <c r="L118" s="121"/>
      <c r="M118" s="121"/>
      <c r="O118" s="121"/>
      <c r="P118" s="121"/>
      <c r="Q118" s="121"/>
      <c r="AE118" s="158"/>
    </row>
    <row r="119" spans="1:31" s="123" customFormat="1" x14ac:dyDescent="0.3">
      <c r="A119" s="321" t="s">
        <v>372</v>
      </c>
      <c r="B119" s="320">
        <v>2258.4</v>
      </c>
      <c r="C119" s="121" t="s">
        <v>182</v>
      </c>
      <c r="D119" s="140" t="s">
        <v>373</v>
      </c>
      <c r="E119" s="121"/>
      <c r="F119" s="121"/>
      <c r="G119" s="121"/>
      <c r="H119" s="121"/>
      <c r="I119" s="121"/>
      <c r="J119" s="121"/>
      <c r="K119" s="121"/>
      <c r="L119" s="121"/>
      <c r="M119" s="121"/>
      <c r="O119" s="121"/>
      <c r="P119" s="121"/>
      <c r="Q119" s="121"/>
    </row>
    <row r="120" spans="1:31" s="123" customFormat="1" x14ac:dyDescent="0.3">
      <c r="A120" s="321" t="s">
        <v>375</v>
      </c>
      <c r="B120" s="320">
        <v>3971200</v>
      </c>
      <c r="C120" s="121" t="s">
        <v>230</v>
      </c>
      <c r="D120" s="160" t="s">
        <v>376</v>
      </c>
      <c r="E120" s="160"/>
      <c r="F120" s="160"/>
      <c r="G120" s="160"/>
      <c r="H120" s="160"/>
      <c r="I120" s="121"/>
      <c r="J120" s="121"/>
      <c r="K120" s="121"/>
      <c r="L120" s="121"/>
      <c r="M120" s="121"/>
      <c r="O120" s="121"/>
      <c r="P120" s="121"/>
      <c r="Q120" s="121"/>
    </row>
    <row r="121" spans="1:31" s="123" customFormat="1" x14ac:dyDescent="0.3">
      <c r="A121" s="154" t="s">
        <v>377</v>
      </c>
      <c r="B121" s="571">
        <f>B119*1000000000*2.2/(B120*1000)</f>
        <v>1251.1281224818695</v>
      </c>
      <c r="C121" s="121" t="s">
        <v>231</v>
      </c>
      <c r="D121" s="160" t="s">
        <v>232</v>
      </c>
      <c r="E121" s="160"/>
      <c r="F121" s="160"/>
      <c r="G121" s="160"/>
      <c r="H121" s="160"/>
      <c r="I121" s="121"/>
      <c r="J121" s="121"/>
      <c r="K121" s="121"/>
      <c r="L121" s="121"/>
      <c r="M121" s="121"/>
      <c r="N121" s="121"/>
      <c r="O121" s="121"/>
      <c r="P121" s="121"/>
      <c r="Q121" s="121"/>
    </row>
    <row r="122" spans="1:31" s="123" customFormat="1" x14ac:dyDescent="0.3">
      <c r="A122" s="321" t="s">
        <v>233</v>
      </c>
      <c r="B122" s="548">
        <v>5.8</v>
      </c>
      <c r="C122" s="121" t="s">
        <v>234</v>
      </c>
      <c r="D122" s="160" t="s">
        <v>235</v>
      </c>
      <c r="E122" s="160"/>
      <c r="F122" s="160"/>
      <c r="G122" s="160"/>
      <c r="H122" s="160"/>
      <c r="I122" s="121"/>
      <c r="J122" s="121"/>
      <c r="K122" s="121"/>
      <c r="L122" s="121"/>
      <c r="M122" s="121"/>
    </row>
    <row r="123" spans="1:31" s="123" customFormat="1" x14ac:dyDescent="0.3">
      <c r="A123" s="321" t="s">
        <v>236</v>
      </c>
      <c r="B123" s="548">
        <v>2.0099999999999998</v>
      </c>
      <c r="C123" s="121" t="s">
        <v>386</v>
      </c>
      <c r="D123" s="160" t="s">
        <v>237</v>
      </c>
      <c r="E123" s="160"/>
      <c r="F123" s="160"/>
      <c r="G123" s="160"/>
      <c r="H123" s="160"/>
      <c r="I123" s="121"/>
      <c r="J123" s="121"/>
      <c r="K123" s="121"/>
      <c r="L123" s="121"/>
      <c r="M123" s="121"/>
    </row>
    <row r="124" spans="1:31" s="123" customFormat="1" x14ac:dyDescent="0.3">
      <c r="A124" s="321" t="s">
        <v>371</v>
      </c>
      <c r="B124" s="320">
        <v>5995.2669999999998</v>
      </c>
      <c r="C124" s="121" t="s">
        <v>210</v>
      </c>
      <c r="D124" s="160" t="s">
        <v>374</v>
      </c>
      <c r="E124" s="160"/>
      <c r="F124" s="160"/>
      <c r="G124" s="160"/>
      <c r="H124" s="160"/>
      <c r="I124" s="121"/>
      <c r="J124" s="121"/>
      <c r="K124" s="121"/>
      <c r="L124" s="121"/>
      <c r="M124" s="121"/>
    </row>
    <row r="125" spans="1:31" s="123" customFormat="1" x14ac:dyDescent="0.3">
      <c r="A125" s="154" t="s">
        <v>238</v>
      </c>
      <c r="B125" s="570">
        <f>(B124*B111/1000000)/(B122*B123+B124*B111/1000000)</f>
        <v>0.34495142381817023</v>
      </c>
      <c r="C125" s="121"/>
      <c r="D125" s="160" t="s">
        <v>239</v>
      </c>
      <c r="E125" s="160"/>
      <c r="F125" s="160"/>
      <c r="G125" s="160"/>
      <c r="H125" s="160"/>
      <c r="I125" s="121"/>
      <c r="J125" s="121"/>
      <c r="K125" s="121"/>
      <c r="L125" s="121"/>
      <c r="M125" s="121"/>
    </row>
    <row r="126" spans="1:31" s="123" customFormat="1" x14ac:dyDescent="0.3"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</row>
    <row r="127" spans="1:31" s="123" customFormat="1" ht="15" customHeight="1" x14ac:dyDescent="0.3"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</row>
    <row r="128" spans="1:31" x14ac:dyDescent="0.3">
      <c r="A128" s="569" t="s">
        <v>390</v>
      </c>
      <c r="B128" s="569"/>
      <c r="C128" s="569"/>
    </row>
  </sheetData>
  <sheetProtection password="B467" sheet="1" objects="1" scenarios="1"/>
  <mergeCells count="16">
    <mergeCell ref="G56:G57"/>
    <mergeCell ref="H56:H57"/>
    <mergeCell ref="B96:C96"/>
    <mergeCell ref="B88:D88"/>
    <mergeCell ref="B3:C3"/>
    <mergeCell ref="D3:G3"/>
    <mergeCell ref="A26:B26"/>
    <mergeCell ref="D26:E26"/>
    <mergeCell ref="A35:A36"/>
    <mergeCell ref="A37:A38"/>
    <mergeCell ref="F35:F36"/>
    <mergeCell ref="F37:F38"/>
    <mergeCell ref="D56:F56"/>
    <mergeCell ref="A56:A57"/>
    <mergeCell ref="B56:B57"/>
    <mergeCell ref="C56:C57"/>
  </mergeCells>
  <pageMargins left="0.7" right="0.7" top="0.75" bottom="0.75" header="0.3" footer="0.3"/>
  <ignoredErrors>
    <ignoredError sqref="B78 B76 H72" formula="1"/>
  </ignoredErrors>
  <drawing r:id="rId1"/>
  <legacyDrawing r:id="rId2"/>
  <oleObjects>
    <mc:AlternateContent xmlns:mc="http://schemas.openxmlformats.org/markup-compatibility/2006">
      <mc:Choice Requires="x14">
        <oleObject progId="Equation.3" shapeId="12290" r:id="rId3">
          <objectPr defaultSize="0" r:id="rId4">
            <anchor moveWithCells="1">
              <from>
                <xdr:col>7</xdr:col>
                <xdr:colOff>129540</xdr:colOff>
                <xdr:row>35</xdr:row>
                <xdr:rowOff>22860</xdr:rowOff>
              </from>
              <to>
                <xdr:col>7</xdr:col>
                <xdr:colOff>518160</xdr:colOff>
                <xdr:row>35</xdr:row>
                <xdr:rowOff>167640</xdr:rowOff>
              </to>
            </anchor>
          </objectPr>
        </oleObject>
      </mc:Choice>
      <mc:Fallback>
        <oleObject progId="Equation.3" shapeId="12290" r:id="rId3"/>
      </mc:Fallback>
    </mc:AlternateContent>
    <mc:AlternateContent xmlns:mc="http://schemas.openxmlformats.org/markup-compatibility/2006">
      <mc:Choice Requires="x14">
        <oleObject progId="Equation.3" shapeId="12291" r:id="rId5">
          <objectPr defaultSize="0" r:id="rId6">
            <anchor moveWithCells="1">
              <from>
                <xdr:col>7</xdr:col>
                <xdr:colOff>137160</xdr:colOff>
                <xdr:row>34</xdr:row>
                <xdr:rowOff>30480</xdr:rowOff>
              </from>
              <to>
                <xdr:col>7</xdr:col>
                <xdr:colOff>518160</xdr:colOff>
                <xdr:row>34</xdr:row>
                <xdr:rowOff>175260</xdr:rowOff>
              </to>
            </anchor>
          </objectPr>
        </oleObject>
      </mc:Choice>
      <mc:Fallback>
        <oleObject progId="Equation.3" shapeId="12291" r:id="rId5"/>
      </mc:Fallback>
    </mc:AlternateContent>
    <mc:AlternateContent xmlns:mc="http://schemas.openxmlformats.org/markup-compatibility/2006">
      <mc:Choice Requires="x14">
        <oleObject progId="Equation.3" shapeId="12292" r:id="rId7">
          <objectPr defaultSize="0" r:id="rId8">
            <anchor moveWithCells="1">
              <from>
                <xdr:col>7</xdr:col>
                <xdr:colOff>129540</xdr:colOff>
                <xdr:row>37</xdr:row>
                <xdr:rowOff>22860</xdr:rowOff>
              </from>
              <to>
                <xdr:col>7</xdr:col>
                <xdr:colOff>510540</xdr:colOff>
                <xdr:row>37</xdr:row>
                <xdr:rowOff>167640</xdr:rowOff>
              </to>
            </anchor>
          </objectPr>
        </oleObject>
      </mc:Choice>
      <mc:Fallback>
        <oleObject progId="Equation.3" shapeId="12292" r:id="rId7"/>
      </mc:Fallback>
    </mc:AlternateContent>
    <mc:AlternateContent xmlns:mc="http://schemas.openxmlformats.org/markup-compatibility/2006">
      <mc:Choice Requires="x14">
        <oleObject progId="Equation.3" shapeId="12293" r:id="rId9">
          <objectPr defaultSize="0" r:id="rId10">
            <anchor moveWithCells="1">
              <from>
                <xdr:col>7</xdr:col>
                <xdr:colOff>137160</xdr:colOff>
                <xdr:row>36</xdr:row>
                <xdr:rowOff>22860</xdr:rowOff>
              </from>
              <to>
                <xdr:col>7</xdr:col>
                <xdr:colOff>510540</xdr:colOff>
                <xdr:row>36</xdr:row>
                <xdr:rowOff>167640</xdr:rowOff>
              </to>
            </anchor>
          </objectPr>
        </oleObject>
      </mc:Choice>
      <mc:Fallback>
        <oleObject progId="Equation.3" shapeId="12293" r:id="rId9"/>
      </mc:Fallback>
    </mc:AlternateContent>
    <mc:AlternateContent xmlns:mc="http://schemas.openxmlformats.org/markup-compatibility/2006">
      <mc:Choice Requires="x14">
        <oleObject progId="Equation.3" shapeId="12294" r:id="rId11">
          <objectPr defaultSize="0" r:id="rId12">
            <anchor moveWithCells="1">
              <from>
                <xdr:col>8</xdr:col>
                <xdr:colOff>129540</xdr:colOff>
                <xdr:row>34</xdr:row>
                <xdr:rowOff>30480</xdr:rowOff>
              </from>
              <to>
                <xdr:col>8</xdr:col>
                <xdr:colOff>571500</xdr:colOff>
                <xdr:row>34</xdr:row>
                <xdr:rowOff>175260</xdr:rowOff>
              </to>
            </anchor>
          </objectPr>
        </oleObject>
      </mc:Choice>
      <mc:Fallback>
        <oleObject progId="Equation.3" shapeId="12294" r:id="rId11"/>
      </mc:Fallback>
    </mc:AlternateContent>
    <mc:AlternateContent xmlns:mc="http://schemas.openxmlformats.org/markup-compatibility/2006">
      <mc:Choice Requires="x14">
        <oleObject progId="Equation.3" shapeId="12295" r:id="rId13">
          <objectPr defaultSize="0" r:id="rId14">
            <anchor moveWithCells="1">
              <from>
                <xdr:col>8</xdr:col>
                <xdr:colOff>129540</xdr:colOff>
                <xdr:row>35</xdr:row>
                <xdr:rowOff>22860</xdr:rowOff>
              </from>
              <to>
                <xdr:col>8</xdr:col>
                <xdr:colOff>579120</xdr:colOff>
                <xdr:row>35</xdr:row>
                <xdr:rowOff>167640</xdr:rowOff>
              </to>
            </anchor>
          </objectPr>
        </oleObject>
      </mc:Choice>
      <mc:Fallback>
        <oleObject progId="Equation.3" shapeId="12295" r:id="rId13"/>
      </mc:Fallback>
    </mc:AlternateContent>
    <mc:AlternateContent xmlns:mc="http://schemas.openxmlformats.org/markup-compatibility/2006">
      <mc:Choice Requires="x14">
        <oleObject progId="Equation.3" shapeId="12296" r:id="rId15">
          <objectPr defaultSize="0" r:id="rId16">
            <anchor moveWithCells="1">
              <from>
                <xdr:col>8</xdr:col>
                <xdr:colOff>137160</xdr:colOff>
                <xdr:row>36</xdr:row>
                <xdr:rowOff>30480</xdr:rowOff>
              </from>
              <to>
                <xdr:col>8</xdr:col>
                <xdr:colOff>571500</xdr:colOff>
                <xdr:row>36</xdr:row>
                <xdr:rowOff>175260</xdr:rowOff>
              </to>
            </anchor>
          </objectPr>
        </oleObject>
      </mc:Choice>
      <mc:Fallback>
        <oleObject progId="Equation.3" shapeId="12296" r:id="rId15"/>
      </mc:Fallback>
    </mc:AlternateContent>
    <mc:AlternateContent xmlns:mc="http://schemas.openxmlformats.org/markup-compatibility/2006">
      <mc:Choice Requires="x14">
        <oleObject progId="Equation.3" shapeId="12297" r:id="rId17">
          <objectPr defaultSize="0" r:id="rId18">
            <anchor moveWithCells="1">
              <from>
                <xdr:col>8</xdr:col>
                <xdr:colOff>137160</xdr:colOff>
                <xdr:row>37</xdr:row>
                <xdr:rowOff>22860</xdr:rowOff>
              </from>
              <to>
                <xdr:col>8</xdr:col>
                <xdr:colOff>579120</xdr:colOff>
                <xdr:row>37</xdr:row>
                <xdr:rowOff>167640</xdr:rowOff>
              </to>
            </anchor>
          </objectPr>
        </oleObject>
      </mc:Choice>
      <mc:Fallback>
        <oleObject progId="Equation.3" shapeId="12297" r:id="rId1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Q232"/>
  <sheetViews>
    <sheetView topLeftCell="A24" workbookViewId="0"/>
  </sheetViews>
  <sheetFormatPr defaultColWidth="9" defaultRowHeight="13.8" x14ac:dyDescent="0.3"/>
  <cols>
    <col min="1" max="1" width="16.36328125" style="297" customWidth="1"/>
    <col min="2" max="5" width="14.08984375" style="297" customWidth="1"/>
    <col min="6" max="6" width="9" style="297" customWidth="1"/>
    <col min="7" max="11" width="14.08984375" style="297" customWidth="1"/>
    <col min="12" max="12" width="9" style="297"/>
    <col min="13" max="17" width="14.08984375" style="297" customWidth="1"/>
    <col min="18" max="16384" width="9" style="297"/>
  </cols>
  <sheetData>
    <row r="1" spans="1:17" ht="15.6" x14ac:dyDescent="0.3">
      <c r="A1" s="558" t="s">
        <v>389</v>
      </c>
    </row>
    <row r="3" spans="1:17" ht="14.4" x14ac:dyDescent="0.3">
      <c r="A3" s="436" t="s">
        <v>336</v>
      </c>
      <c r="G3" s="436" t="s">
        <v>337</v>
      </c>
      <c r="M3" s="436" t="s">
        <v>346</v>
      </c>
    </row>
    <row r="4" spans="1:17" ht="14.4" thickBot="1" x14ac:dyDescent="0.35"/>
    <row r="5" spans="1:17" ht="21.75" customHeight="1" thickBot="1" x14ac:dyDescent="0.35">
      <c r="B5" s="437" t="s">
        <v>355</v>
      </c>
      <c r="C5" s="432" t="s">
        <v>356</v>
      </c>
      <c r="D5" s="310" t="s">
        <v>358</v>
      </c>
      <c r="E5" s="438" t="s">
        <v>335</v>
      </c>
      <c r="G5" s="357"/>
      <c r="H5" s="437" t="s">
        <v>355</v>
      </c>
      <c r="I5" s="432" t="s">
        <v>356</v>
      </c>
      <c r="J5" s="310" t="s">
        <v>358</v>
      </c>
      <c r="K5" s="438" t="s">
        <v>335</v>
      </c>
      <c r="M5" s="357"/>
      <c r="N5" s="437" t="s">
        <v>355</v>
      </c>
      <c r="O5" s="432" t="s">
        <v>356</v>
      </c>
      <c r="P5" s="310" t="s">
        <v>358</v>
      </c>
      <c r="Q5" s="438" t="s">
        <v>335</v>
      </c>
    </row>
    <row r="6" spans="1:17" ht="20.25" customHeight="1" x14ac:dyDescent="0.3">
      <c r="A6" s="439" t="s">
        <v>323</v>
      </c>
      <c r="B6" s="440">
        <f>'TPWP Scenario Outputs'!$M$3</f>
        <v>0.24</v>
      </c>
      <c r="C6" s="441">
        <f>'Emissions Factors'!$C$38</f>
        <v>3.2759544916934122</v>
      </c>
      <c r="D6" s="311">
        <f>B6*C6</f>
        <v>0.78622907800641895</v>
      </c>
      <c r="E6" s="442" t="s">
        <v>298</v>
      </c>
      <c r="G6" s="439" t="s">
        <v>338</v>
      </c>
      <c r="H6" s="443">
        <f>'TPWP Scenario Outputs'!$AF$3</f>
        <v>0.03</v>
      </c>
      <c r="I6" s="444">
        <f>'Emissions Factors'!$D$10</f>
        <v>0.59297814301457452</v>
      </c>
      <c r="J6" s="312">
        <f t="shared" ref="J6:J13" si="0">H6*I6</f>
        <v>1.7789344290437235E-2</v>
      </c>
      <c r="K6" s="442" t="s">
        <v>298</v>
      </c>
      <c r="M6" s="439" t="s">
        <v>338</v>
      </c>
      <c r="N6" s="443">
        <f>'TPWP Scenario Outputs'!$AU$3</f>
        <v>0.03</v>
      </c>
      <c r="O6" s="444">
        <f>'Emissions Factors'!$F$10</f>
        <v>605</v>
      </c>
      <c r="P6" s="312">
        <f>N6*O6</f>
        <v>18.149999999999999</v>
      </c>
      <c r="Q6" s="442" t="s">
        <v>298</v>
      </c>
    </row>
    <row r="7" spans="1:17" ht="20.25" customHeight="1" x14ac:dyDescent="0.3">
      <c r="A7" s="445" t="s">
        <v>324</v>
      </c>
      <c r="B7" s="446">
        <f>'TPWP Scenario Outputs'!$N$3</f>
        <v>0.46</v>
      </c>
      <c r="C7" s="447">
        <f>'Emissions Factors'!$C$36</f>
        <v>0.77929665016691607</v>
      </c>
      <c r="D7" s="312">
        <f t="shared" ref="D7:D17" si="1">B7*C7</f>
        <v>0.35847645907678138</v>
      </c>
      <c r="E7" s="448" t="s">
        <v>299</v>
      </c>
      <c r="G7" s="445" t="s">
        <v>339</v>
      </c>
      <c r="H7" s="449">
        <f>'TPWP Scenario Outputs'!$AG$3</f>
        <v>0.97</v>
      </c>
      <c r="I7" s="445">
        <f>'Emissions Factors'!$E$10</f>
        <v>0.1056</v>
      </c>
      <c r="J7" s="312">
        <f t="shared" si="0"/>
        <v>0.102432</v>
      </c>
      <c r="K7" s="448" t="s">
        <v>315</v>
      </c>
      <c r="M7" s="445" t="s">
        <v>347</v>
      </c>
      <c r="N7" s="449">
        <f>'TPWP Scenario Outputs'!$AV$3</f>
        <v>0.97</v>
      </c>
      <c r="O7" s="445">
        <f>'Emissions Factors'!$G$10</f>
        <v>100</v>
      </c>
      <c r="P7" s="312">
        <f t="shared" ref="P7:P13" si="2">N7*O7</f>
        <v>97</v>
      </c>
      <c r="Q7" s="448" t="s">
        <v>351</v>
      </c>
    </row>
    <row r="8" spans="1:17" ht="20.25" customHeight="1" x14ac:dyDescent="0.3">
      <c r="A8" s="445" t="s">
        <v>325</v>
      </c>
      <c r="B8" s="446">
        <f>'TPWP Scenario Outputs'!$K$3</f>
        <v>0.45999999999999996</v>
      </c>
      <c r="C8" s="447">
        <f>'Emissions Factors'!$C$36</f>
        <v>0.77929665016691607</v>
      </c>
      <c r="D8" s="312">
        <f t="shared" si="1"/>
        <v>0.35847645907678138</v>
      </c>
      <c r="E8" s="448" t="s">
        <v>300</v>
      </c>
      <c r="G8" s="445" t="s">
        <v>340</v>
      </c>
      <c r="H8" s="449">
        <f>'TPWP Scenario Outputs'!$AE$3</f>
        <v>0.97</v>
      </c>
      <c r="I8" s="445">
        <f>'Emissions Factors'!$E$10</f>
        <v>0.1056</v>
      </c>
      <c r="J8" s="312">
        <f t="shared" si="0"/>
        <v>0.102432</v>
      </c>
      <c r="K8" s="448" t="s">
        <v>316</v>
      </c>
      <c r="M8" s="445" t="s">
        <v>348</v>
      </c>
      <c r="N8" s="449">
        <f>'TPWP Scenario Outputs'!$AT$3</f>
        <v>0.97</v>
      </c>
      <c r="O8" s="445">
        <f>'Emissions Factors'!$G$10</f>
        <v>100</v>
      </c>
      <c r="P8" s="312">
        <f t="shared" si="2"/>
        <v>97</v>
      </c>
      <c r="Q8" s="448" t="s">
        <v>352</v>
      </c>
    </row>
    <row r="9" spans="1:17" ht="20.25" customHeight="1" x14ac:dyDescent="0.3">
      <c r="A9" s="445" t="s">
        <v>326</v>
      </c>
      <c r="B9" s="446">
        <f>'TPWP Scenario Outputs'!$L$3</f>
        <v>0</v>
      </c>
      <c r="C9" s="447">
        <f>'Emissions Factors'!$D$36</f>
        <v>0.77929665016691607</v>
      </c>
      <c r="D9" s="312">
        <f t="shared" si="1"/>
        <v>0</v>
      </c>
      <c r="E9" s="448" t="s">
        <v>301</v>
      </c>
      <c r="G9" s="445" t="s">
        <v>341</v>
      </c>
      <c r="H9" s="449">
        <f>'TPWP Scenario Outputs'!$AF$3</f>
        <v>0.03</v>
      </c>
      <c r="I9" s="445">
        <f>'Emissions Factors'!$D$11</f>
        <v>62.445181880789761</v>
      </c>
      <c r="J9" s="312">
        <f t="shared" si="0"/>
        <v>1.8733554564236927</v>
      </c>
      <c r="K9" s="448" t="s">
        <v>302</v>
      </c>
      <c r="M9" s="445" t="s">
        <v>341</v>
      </c>
      <c r="N9" s="449">
        <f>'TPWP Scenario Outputs'!$AU$3</f>
        <v>0.03</v>
      </c>
      <c r="O9" s="445">
        <f>'Emissions Factors'!$F$11</f>
        <v>90000</v>
      </c>
      <c r="P9" s="312">
        <f t="shared" si="2"/>
        <v>2700</v>
      </c>
      <c r="Q9" s="448" t="s">
        <v>302</v>
      </c>
    </row>
    <row r="10" spans="1:17" ht="20.25" customHeight="1" x14ac:dyDescent="0.3">
      <c r="A10" s="445" t="s">
        <v>327</v>
      </c>
      <c r="B10" s="446">
        <f>'TPWP Scenario Outputs'!$M$3</f>
        <v>0.24</v>
      </c>
      <c r="C10" s="447">
        <f>'Emissions Factors'!$C$37</f>
        <v>476.13473903710951</v>
      </c>
      <c r="D10" s="312">
        <f t="shared" si="1"/>
        <v>114.27233736890628</v>
      </c>
      <c r="E10" s="448" t="s">
        <v>302</v>
      </c>
      <c r="G10" s="445" t="s">
        <v>342</v>
      </c>
      <c r="H10" s="449">
        <f>'TPWP Scenario Outputs'!$AG$3</f>
        <v>0.97</v>
      </c>
      <c r="I10" s="445">
        <f>'Emissions Factors'!$E$11</f>
        <v>86.2</v>
      </c>
      <c r="J10" s="312">
        <f t="shared" si="0"/>
        <v>83.614000000000004</v>
      </c>
      <c r="K10" s="448" t="s">
        <v>317</v>
      </c>
      <c r="M10" s="445" t="s">
        <v>349</v>
      </c>
      <c r="N10" s="449">
        <f>'TPWP Scenario Outputs'!$AV$3</f>
        <v>0.97</v>
      </c>
      <c r="O10" s="445">
        <f>'Emissions Factors'!$G$11</f>
        <v>100000</v>
      </c>
      <c r="P10" s="312">
        <f t="shared" si="2"/>
        <v>97000</v>
      </c>
      <c r="Q10" s="448" t="s">
        <v>353</v>
      </c>
    </row>
    <row r="11" spans="1:17" ht="20.25" customHeight="1" x14ac:dyDescent="0.3">
      <c r="A11" s="445" t="s">
        <v>328</v>
      </c>
      <c r="B11" s="446">
        <f>'TPWP Scenario Outputs'!$N$3</f>
        <v>0.46</v>
      </c>
      <c r="C11" s="447">
        <f>'Emissions Factors'!$C$35</f>
        <v>976.27886497064571</v>
      </c>
      <c r="D11" s="312">
        <f t="shared" si="1"/>
        <v>449.08827788649705</v>
      </c>
      <c r="E11" s="448" t="s">
        <v>303</v>
      </c>
      <c r="G11" s="445" t="s">
        <v>343</v>
      </c>
      <c r="H11" s="449">
        <f>'TPWP Scenario Outputs'!$AD$3</f>
        <v>0.03</v>
      </c>
      <c r="I11" s="445">
        <f>'Emissions Factors'!$D$11</f>
        <v>62.445181880789761</v>
      </c>
      <c r="J11" s="312">
        <f t="shared" si="0"/>
        <v>1.8733554564236927</v>
      </c>
      <c r="K11" s="448" t="s">
        <v>318</v>
      </c>
      <c r="M11" s="445" t="s">
        <v>343</v>
      </c>
      <c r="N11" s="449">
        <f>'TPWP Scenario Outputs'!$AS$3</f>
        <v>0.03</v>
      </c>
      <c r="O11" s="445">
        <f>'Emissions Factors'!$F$11</f>
        <v>90000</v>
      </c>
      <c r="P11" s="312">
        <f t="shared" si="2"/>
        <v>2700</v>
      </c>
      <c r="Q11" s="448" t="s">
        <v>318</v>
      </c>
    </row>
    <row r="12" spans="1:17" ht="20.25" customHeight="1" x14ac:dyDescent="0.3">
      <c r="A12" s="445" t="s">
        <v>329</v>
      </c>
      <c r="B12" s="446">
        <f>'TPWP Scenario Outputs'!$K$3</f>
        <v>0.45999999999999996</v>
      </c>
      <c r="C12" s="447">
        <f>'Emissions Factors'!$C$35</f>
        <v>976.27886497064571</v>
      </c>
      <c r="D12" s="312">
        <f t="shared" si="1"/>
        <v>449.088277886497</v>
      </c>
      <c r="E12" s="448" t="s">
        <v>304</v>
      </c>
      <c r="G12" s="445" t="s">
        <v>344</v>
      </c>
      <c r="H12" s="449">
        <f>'TPWP Scenario Outputs'!$AE$3</f>
        <v>0.97</v>
      </c>
      <c r="I12" s="445">
        <f>'Emissions Factors'!$E$11</f>
        <v>86.2</v>
      </c>
      <c r="J12" s="312">
        <f t="shared" si="0"/>
        <v>83.614000000000004</v>
      </c>
      <c r="K12" s="448" t="s">
        <v>319</v>
      </c>
      <c r="M12" s="445" t="s">
        <v>350</v>
      </c>
      <c r="N12" s="449">
        <f>'TPWP Scenario Outputs'!$AT$3</f>
        <v>0.97</v>
      </c>
      <c r="O12" s="445">
        <f>'Emissions Factors'!$G$11</f>
        <v>100000</v>
      </c>
      <c r="P12" s="312">
        <f t="shared" si="2"/>
        <v>97000</v>
      </c>
      <c r="Q12" s="448" t="s">
        <v>354</v>
      </c>
    </row>
    <row r="13" spans="1:17" ht="20.25" customHeight="1" thickBot="1" x14ac:dyDescent="0.35">
      <c r="A13" s="445" t="s">
        <v>330</v>
      </c>
      <c r="B13" s="446">
        <f>'TPWP Scenario Outputs'!$L$3</f>
        <v>0</v>
      </c>
      <c r="C13" s="447">
        <f>'Emissions Factors'!$D$35</f>
        <v>976.27886497064571</v>
      </c>
      <c r="D13" s="312">
        <f t="shared" si="1"/>
        <v>0</v>
      </c>
      <c r="E13" s="448" t="s">
        <v>305</v>
      </c>
      <c r="G13" s="450" t="s">
        <v>345</v>
      </c>
      <c r="H13" s="451">
        <f>'TPWP Scenario Outputs'!$AD$3</f>
        <v>0.03</v>
      </c>
      <c r="I13" s="450">
        <f>'Emissions Factors'!$D$10</f>
        <v>0.59297814301457452</v>
      </c>
      <c r="J13" s="313">
        <f t="shared" si="0"/>
        <v>1.7789344290437235E-2</v>
      </c>
      <c r="K13" s="452" t="s">
        <v>320</v>
      </c>
      <c r="M13" s="450" t="s">
        <v>345</v>
      </c>
      <c r="N13" s="451">
        <f>'TPWP Scenario Outputs'!$AS$3</f>
        <v>0.03</v>
      </c>
      <c r="O13" s="450">
        <f>'Emissions Factors'!$F$10</f>
        <v>605</v>
      </c>
      <c r="P13" s="313">
        <f t="shared" si="2"/>
        <v>18.149999999999999</v>
      </c>
      <c r="Q13" s="452" t="s">
        <v>320</v>
      </c>
    </row>
    <row r="14" spans="1:17" ht="20.25" customHeight="1" x14ac:dyDescent="0.3">
      <c r="A14" s="445" t="s">
        <v>331</v>
      </c>
      <c r="B14" s="446">
        <f>'TPWP Scenario Outputs'!$I$3</f>
        <v>0.24</v>
      </c>
      <c r="C14" s="447">
        <f>'Emissions Factors'!$C$37</f>
        <v>476.13473903710951</v>
      </c>
      <c r="D14" s="312">
        <f t="shared" si="1"/>
        <v>114.27233736890628</v>
      </c>
      <c r="E14" s="448" t="s">
        <v>306</v>
      </c>
    </row>
    <row r="15" spans="1:17" ht="20.25" customHeight="1" x14ac:dyDescent="0.3">
      <c r="A15" s="445" t="s">
        <v>332</v>
      </c>
      <c r="B15" s="446">
        <f>'TPWP Scenario Outputs'!$J$3</f>
        <v>0</v>
      </c>
      <c r="C15" s="447">
        <f>'Emissions Factors'!$D$37</f>
        <v>476.13473903710951</v>
      </c>
      <c r="D15" s="312">
        <f t="shared" si="1"/>
        <v>0</v>
      </c>
      <c r="E15" s="448" t="s">
        <v>307</v>
      </c>
    </row>
    <row r="16" spans="1:17" ht="20.25" customHeight="1" x14ac:dyDescent="0.3">
      <c r="A16" s="445" t="s">
        <v>333</v>
      </c>
      <c r="B16" s="446">
        <f>'TPWP Scenario Outputs'!$I$3</f>
        <v>0.24</v>
      </c>
      <c r="C16" s="447">
        <f>'Emissions Factors'!$C$38</f>
        <v>3.2759544916934122</v>
      </c>
      <c r="D16" s="312">
        <f t="shared" si="1"/>
        <v>0.78622907800641895</v>
      </c>
      <c r="E16" s="448" t="s">
        <v>308</v>
      </c>
    </row>
    <row r="17" spans="1:5" ht="20.25" customHeight="1" thickBot="1" x14ac:dyDescent="0.35">
      <c r="A17" s="450" t="s">
        <v>334</v>
      </c>
      <c r="B17" s="453">
        <f>'TPWP Scenario Outputs'!$J$3</f>
        <v>0</v>
      </c>
      <c r="C17" s="454">
        <f>'Emissions Factors'!$D$38</f>
        <v>3.2759544916934122</v>
      </c>
      <c r="D17" s="313">
        <f t="shared" si="1"/>
        <v>0</v>
      </c>
      <c r="E17" s="452" t="s">
        <v>309</v>
      </c>
    </row>
    <row r="20" spans="1:5" ht="14.4" x14ac:dyDescent="0.3">
      <c r="A20" s="296" t="s">
        <v>383</v>
      </c>
    </row>
    <row r="21" spans="1:5" ht="14.4" thickBot="1" x14ac:dyDescent="0.35"/>
    <row r="22" spans="1:5" ht="15" customHeight="1" x14ac:dyDescent="0.3">
      <c r="A22" s="640" t="s">
        <v>47</v>
      </c>
      <c r="B22" s="688" t="s">
        <v>314</v>
      </c>
      <c r="C22" s="688" t="s">
        <v>321</v>
      </c>
      <c r="D22" s="688" t="s">
        <v>357</v>
      </c>
    </row>
    <row r="23" spans="1:5" ht="12.75" customHeight="1" thickBot="1" x14ac:dyDescent="0.35">
      <c r="A23" s="641"/>
      <c r="B23" s="689"/>
      <c r="C23" s="689"/>
      <c r="D23" s="689"/>
    </row>
    <row r="24" spans="1:5" x14ac:dyDescent="0.3">
      <c r="A24" s="358">
        <v>0.1</v>
      </c>
      <c r="B24" s="455">
        <f>'Methane Leakage'!$C$5*(($D$6+$D$7-$D$8-$D$9)/($D$16+$D$17)+((('Calcs - Power'!C3+'Calcs - Power'!D3+'Calcs - Power'!E3+'Calcs - Power'!F3)*($D$10+$D$11-$D$12-$D$13-$D$14-$D$15))/((102*'Calcs - Power'!B3)*($D$16+$D$17))))</f>
        <v>2.0000000000000014E-2</v>
      </c>
      <c r="C24" s="455">
        <f>'Methane Leakage'!$G$5*((($J$6+$J$7-$J$8)/$J$13)+((('Calcs - Transp'!$C3+'Calcs - Transp'!$D3+'Calcs - Transp'!$E3+'Calcs - Transp'!$F3)*($J$9+$J$10-$J$11-$J$12))/((102*'Calcs - Transp'!$B3)*$J$13)))</f>
        <v>2.8000000000000014E-2</v>
      </c>
      <c r="D24" s="455">
        <f>'Methane Leakage'!$G$5*((($P$6+$P$7-$P$8)/$P$13)+((('Calcs - Transp'!$C3+'Calcs - Transp'!$D3+'Calcs - Transp'!$E3+'Calcs - Transp'!$F3)*($P$9+$P$10-$P$11-$P$12))/((102*'Calcs - Transp'!$B3)*$P$13)))</f>
        <v>2.8000000000000014E-2</v>
      </c>
    </row>
    <row r="25" spans="1:5" x14ac:dyDescent="0.3">
      <c r="A25" s="358">
        <f>0.1+A24</f>
        <v>0.2</v>
      </c>
      <c r="B25" s="455">
        <f>'Methane Leakage'!$C$5*(($D$6+$D$7-$D$8-$D$9)/($D$16+$D$17)+((('Calcs - Power'!C4+'Calcs - Power'!D4+'Calcs - Power'!E4+'Calcs - Power'!F4)*($D$10+$D$11-$D$12-$D$13-$D$14-$D$15))/((102*'Calcs - Power'!B4)*($D$16+$D$17))))</f>
        <v>2.0000000000000014E-2</v>
      </c>
      <c r="C25" s="455">
        <f>'Methane Leakage'!$G$5*((($J$6+$J$7-$J$8)/$J$13)+((('Calcs - Transp'!$C4+'Calcs - Transp'!$D4+'Calcs - Transp'!$E4+'Calcs - Transp'!$F4)*($J$9+$J$10-$J$11-$J$12))/((102*'Calcs - Transp'!$B4)*$J$13)))</f>
        <v>2.8000000000000014E-2</v>
      </c>
      <c r="D25" s="455">
        <f>'Methane Leakage'!$G$5*((($P$6+$P$7-$P$8)/$P$13)+((('Calcs - Transp'!$C4+'Calcs - Transp'!$D4+'Calcs - Transp'!$E4+'Calcs - Transp'!$F4)*($P$9+$P$10-$P$11-$P$12))/((102*'Calcs - Transp'!$B4)*$P$13)))</f>
        <v>2.8000000000000014E-2</v>
      </c>
    </row>
    <row r="26" spans="1:5" x14ac:dyDescent="0.3">
      <c r="A26" s="358">
        <f t="shared" ref="A26:A33" si="3">0.1+A25</f>
        <v>0.30000000000000004</v>
      </c>
      <c r="B26" s="455">
        <f>'Methane Leakage'!$C$5*(($D$6+$D$7-$D$8-$D$9)/($D$16+$D$17)+((('Calcs - Power'!C5+'Calcs - Power'!D5+'Calcs - Power'!E5+'Calcs - Power'!F5)*($D$10+$D$11-$D$12-$D$13-$D$14-$D$15))/((102*'Calcs - Power'!B5)*($D$16+$D$17))))</f>
        <v>2.0000000000000014E-2</v>
      </c>
      <c r="C26" s="455">
        <f>'Methane Leakage'!$G$5*((($J$6+$J$7-$J$8)/$J$13)+((('Calcs - Transp'!$C5+'Calcs - Transp'!$D5+'Calcs - Transp'!$E5+'Calcs - Transp'!$F5)*($J$9+$J$10-$J$11-$J$12))/((102*'Calcs - Transp'!$B5)*$J$13)))</f>
        <v>2.8000000000000014E-2</v>
      </c>
      <c r="D26" s="455">
        <f>'Methane Leakage'!$G$5*((($P$6+$P$7-$P$8)/$P$13)+((('Calcs - Transp'!$C5+'Calcs - Transp'!$D5+'Calcs - Transp'!$E5+'Calcs - Transp'!$F5)*($P$9+$P$10-$P$11-$P$12))/((102*'Calcs - Transp'!$B5)*$P$13)))</f>
        <v>2.8000000000000014E-2</v>
      </c>
    </row>
    <row r="27" spans="1:5" x14ac:dyDescent="0.3">
      <c r="A27" s="358">
        <f t="shared" si="3"/>
        <v>0.4</v>
      </c>
      <c r="B27" s="455">
        <f>'Methane Leakage'!$C$5*(($D$6+$D$7-$D$8-$D$9)/($D$16+$D$17)+((('Calcs - Power'!C6+'Calcs - Power'!D6+'Calcs - Power'!E6+'Calcs - Power'!F6)*($D$10+$D$11-$D$12-$D$13-$D$14-$D$15))/((102*'Calcs - Power'!B6)*($D$16+$D$17))))</f>
        <v>2.0000000000000014E-2</v>
      </c>
      <c r="C27" s="455">
        <f>'Methane Leakage'!$G$5*((($J$6+$J$7-$J$8)/$J$13)+((('Calcs - Transp'!$C6+'Calcs - Transp'!$D6+'Calcs - Transp'!$E6+'Calcs - Transp'!$F6)*($J$9+$J$10-$J$11-$J$12))/((102*'Calcs - Transp'!$B6)*$J$13)))</f>
        <v>2.8000000000000014E-2</v>
      </c>
      <c r="D27" s="455">
        <f>'Methane Leakage'!$G$5*((($P$6+$P$7-$P$8)/$P$13)+((('Calcs - Transp'!$C6+'Calcs - Transp'!$D6+'Calcs - Transp'!$E6+'Calcs - Transp'!$F6)*($P$9+$P$10-$P$11-$P$12))/((102*'Calcs - Transp'!$B6)*$P$13)))</f>
        <v>2.8000000000000014E-2</v>
      </c>
    </row>
    <row r="28" spans="1:5" x14ac:dyDescent="0.3">
      <c r="A28" s="358">
        <f t="shared" si="3"/>
        <v>0.5</v>
      </c>
      <c r="B28" s="455">
        <f>'Methane Leakage'!$C$5*(($D$6+$D$7-$D$8-$D$9)/($D$16+$D$17)+((('Calcs - Power'!C7+'Calcs - Power'!D7+'Calcs - Power'!E7+'Calcs - Power'!F7)*($D$10+$D$11-$D$12-$D$13-$D$14-$D$15))/((102*'Calcs - Power'!B7)*($D$16+$D$17))))</f>
        <v>2.0000000000000014E-2</v>
      </c>
      <c r="C28" s="455">
        <f>'Methane Leakage'!$G$5*((($J$6+$J$7-$J$8)/$J$13)+((('Calcs - Transp'!$C7+'Calcs - Transp'!$D7+'Calcs - Transp'!$E7+'Calcs - Transp'!$F7)*($J$9+$J$10-$J$11-$J$12))/((102*'Calcs - Transp'!$B7)*$J$13)))</f>
        <v>2.8000000000000014E-2</v>
      </c>
      <c r="D28" s="455">
        <f>'Methane Leakage'!$G$5*((($P$6+$P$7-$P$8)/$P$13)+((('Calcs - Transp'!$C7+'Calcs - Transp'!$D7+'Calcs - Transp'!$E7+'Calcs - Transp'!$F7)*($P$9+$P$10-$P$11-$P$12))/((102*'Calcs - Transp'!$B7)*$P$13)))</f>
        <v>2.8000000000000014E-2</v>
      </c>
    </row>
    <row r="29" spans="1:5" x14ac:dyDescent="0.3">
      <c r="A29" s="358">
        <f t="shared" si="3"/>
        <v>0.6</v>
      </c>
      <c r="B29" s="455">
        <f>'Methane Leakage'!$C$5*(($D$6+$D$7-$D$8-$D$9)/($D$16+$D$17)+((('Calcs - Power'!C8+'Calcs - Power'!D8+'Calcs - Power'!E8+'Calcs - Power'!F8)*($D$10+$D$11-$D$12-$D$13-$D$14-$D$15))/((102*'Calcs - Power'!B8)*($D$16+$D$17))))</f>
        <v>2.0000000000000014E-2</v>
      </c>
      <c r="C29" s="455">
        <f>'Methane Leakage'!$G$5*((($J$6+$J$7-$J$8)/$J$13)+((('Calcs - Transp'!$C8+'Calcs - Transp'!$D8+'Calcs - Transp'!$E8+'Calcs - Transp'!$F8)*($J$9+$J$10-$J$11-$J$12))/((102*'Calcs - Transp'!$B8)*$J$13)))</f>
        <v>2.8000000000000014E-2</v>
      </c>
      <c r="D29" s="455">
        <f>'Methane Leakage'!$G$5*((($P$6+$P$7-$P$8)/$P$13)+((('Calcs - Transp'!$C8+'Calcs - Transp'!$D8+'Calcs - Transp'!$E8+'Calcs - Transp'!$F8)*($P$9+$P$10-$P$11-$P$12))/((102*'Calcs - Transp'!$B8)*$P$13)))</f>
        <v>2.8000000000000014E-2</v>
      </c>
    </row>
    <row r="30" spans="1:5" x14ac:dyDescent="0.3">
      <c r="A30" s="358">
        <f t="shared" si="3"/>
        <v>0.7</v>
      </c>
      <c r="B30" s="455">
        <f>'Methane Leakage'!$C$5*(($D$6+$D$7-$D$8-$D$9)/($D$16+$D$17)+((('Calcs - Power'!C9+'Calcs - Power'!D9+'Calcs - Power'!E9+'Calcs - Power'!F9)*($D$10+$D$11-$D$12-$D$13-$D$14-$D$15))/((102*'Calcs - Power'!B9)*($D$16+$D$17))))</f>
        <v>2.0000000000000014E-2</v>
      </c>
      <c r="C30" s="455">
        <f>'Methane Leakage'!$G$5*((($J$6+$J$7-$J$8)/$J$13)+((('Calcs - Transp'!$C9+'Calcs - Transp'!$D9+'Calcs - Transp'!$E9+'Calcs - Transp'!$F9)*($J$9+$J$10-$J$11-$J$12))/((102*'Calcs - Transp'!$B9)*$J$13)))</f>
        <v>2.8000000000000014E-2</v>
      </c>
      <c r="D30" s="455">
        <f>'Methane Leakage'!$G$5*((($P$6+$P$7-$P$8)/$P$13)+((('Calcs - Transp'!$C9+'Calcs - Transp'!$D9+'Calcs - Transp'!$E9+'Calcs - Transp'!$F9)*($P$9+$P$10-$P$11-$P$12))/((102*'Calcs - Transp'!$B9)*$P$13)))</f>
        <v>2.8000000000000014E-2</v>
      </c>
    </row>
    <row r="31" spans="1:5" x14ac:dyDescent="0.3">
      <c r="A31" s="358">
        <f t="shared" si="3"/>
        <v>0.79999999999999993</v>
      </c>
      <c r="B31" s="455">
        <f>'Methane Leakage'!$C$5*(($D$6+$D$7-$D$8-$D$9)/($D$16+$D$17)+((('Calcs - Power'!C10+'Calcs - Power'!D10+'Calcs - Power'!E10+'Calcs - Power'!F10)*($D$10+$D$11-$D$12-$D$13-$D$14-$D$15))/((102*'Calcs - Power'!B10)*($D$16+$D$17))))</f>
        <v>2.0000000000000014E-2</v>
      </c>
      <c r="C31" s="455">
        <f>'Methane Leakage'!$G$5*((($J$6+$J$7-$J$8)/$J$13)+((('Calcs - Transp'!$C10+'Calcs - Transp'!$D10+'Calcs - Transp'!$E10+'Calcs - Transp'!$F10)*($J$9+$J$10-$J$11-$J$12))/((102*'Calcs - Transp'!$B10)*$J$13)))</f>
        <v>2.8000000000000014E-2</v>
      </c>
      <c r="D31" s="455">
        <f>'Methane Leakage'!$G$5*((($P$6+$P$7-$P$8)/$P$13)+((('Calcs - Transp'!$C10+'Calcs - Transp'!$D10+'Calcs - Transp'!$E10+'Calcs - Transp'!$F10)*($P$9+$P$10-$P$11-$P$12))/((102*'Calcs - Transp'!$B10)*$P$13)))</f>
        <v>2.8000000000000014E-2</v>
      </c>
    </row>
    <row r="32" spans="1:5" x14ac:dyDescent="0.3">
      <c r="A32" s="358">
        <f t="shared" si="3"/>
        <v>0.89999999999999991</v>
      </c>
      <c r="B32" s="455">
        <f>'Methane Leakage'!$C$5*(($D$6+$D$7-$D$8-$D$9)/($D$16+$D$17)+((('Calcs - Power'!C11+'Calcs - Power'!D11+'Calcs - Power'!E11+'Calcs - Power'!F11)*($D$10+$D$11-$D$12-$D$13-$D$14-$D$15))/((102*'Calcs - Power'!B11)*($D$16+$D$17))))</f>
        <v>2.0000000000000014E-2</v>
      </c>
      <c r="C32" s="455">
        <f>'Methane Leakage'!$G$5*((($J$6+$J$7-$J$8)/$J$13)+((('Calcs - Transp'!$C11+'Calcs - Transp'!$D11+'Calcs - Transp'!$E11+'Calcs - Transp'!$F11)*($J$9+$J$10-$J$11-$J$12))/((102*'Calcs - Transp'!$B11)*$J$13)))</f>
        <v>2.8000000000000014E-2</v>
      </c>
      <c r="D32" s="455">
        <f>'Methane Leakage'!$G$5*((($P$6+$P$7-$P$8)/$P$13)+((('Calcs - Transp'!$C11+'Calcs - Transp'!$D11+'Calcs - Transp'!$E11+'Calcs - Transp'!$F11)*($P$9+$P$10-$P$11-$P$12))/((102*'Calcs - Transp'!$B11)*$P$13)))</f>
        <v>2.8000000000000014E-2</v>
      </c>
    </row>
    <row r="33" spans="1:4" x14ac:dyDescent="0.3">
      <c r="A33" s="358">
        <f t="shared" si="3"/>
        <v>0.99999999999999989</v>
      </c>
      <c r="B33" s="455">
        <f>'Methane Leakage'!$C$5*(($D$6+$D$7-$D$8-$D$9)/($D$16+$D$17)+((('Calcs - Power'!C12+'Calcs - Power'!D12+'Calcs - Power'!E12+'Calcs - Power'!F12)*($D$10+$D$11-$D$12-$D$13-$D$14-$D$15))/((102*'Calcs - Power'!B12)*($D$16+$D$17))))</f>
        <v>2.0000000000000014E-2</v>
      </c>
      <c r="C33" s="455">
        <f>'Methane Leakage'!$G$5*((($J$6+$J$7-$J$8)/$J$13)+((('Calcs - Transp'!$C12+'Calcs - Transp'!$D12+'Calcs - Transp'!$E12+'Calcs - Transp'!$F12)*($J$9+$J$10-$J$11-$J$12))/((102*'Calcs - Transp'!$B12)*$J$13)))</f>
        <v>2.8000000000000014E-2</v>
      </c>
      <c r="D33" s="455">
        <f>'Methane Leakage'!$G$5*((($P$6+$P$7-$P$8)/$P$13)+((('Calcs - Transp'!$C12+'Calcs - Transp'!$D12+'Calcs - Transp'!$E12+'Calcs - Transp'!$F12)*($P$9+$P$10-$P$11-$P$12))/((102*'Calcs - Transp'!$B12)*$P$13)))</f>
        <v>2.8000000000000014E-2</v>
      </c>
    </row>
    <row r="34" spans="1:4" x14ac:dyDescent="0.3">
      <c r="A34" s="358">
        <f>A33+1</f>
        <v>2</v>
      </c>
      <c r="B34" s="455">
        <f>'Methane Leakage'!$C$5*(($D$6+$D$7-$D$8-$D$9)/($D$16+$D$17)+((('Calcs - Power'!C13+'Calcs - Power'!D13+'Calcs - Power'!E13+'Calcs - Power'!F13)*($D$10+$D$11-$D$12-$D$13-$D$14-$D$15))/((102*'Calcs - Power'!B13)*($D$16+$D$17))))</f>
        <v>2.0000000000000014E-2</v>
      </c>
      <c r="C34" s="455">
        <f>'Methane Leakage'!$G$5*((($J$6+$J$7-$J$8)/$J$13)+((('Calcs - Transp'!$C13+'Calcs - Transp'!$D13+'Calcs - Transp'!$E13+'Calcs - Transp'!$F13)*($J$9+$J$10-$J$11-$J$12))/((102*'Calcs - Transp'!$B13)*$J$13)))</f>
        <v>2.8000000000000014E-2</v>
      </c>
      <c r="D34" s="455">
        <f>'Methane Leakage'!$G$5*((($P$6+$P$7-$P$8)/$P$13)+((('Calcs - Transp'!$C13+'Calcs - Transp'!$D13+'Calcs - Transp'!$E13+'Calcs - Transp'!$F13)*($P$9+$P$10-$P$11-$P$12))/((102*'Calcs - Transp'!$B13)*$P$13)))</f>
        <v>2.8000000000000014E-2</v>
      </c>
    </row>
    <row r="35" spans="1:4" x14ac:dyDescent="0.3">
      <c r="A35" s="358">
        <f t="shared" ref="A35:A98" si="4">A34+1</f>
        <v>3</v>
      </c>
      <c r="B35" s="455">
        <f>'Methane Leakage'!$C$5*(($D$6+$D$7-$D$8-$D$9)/($D$16+$D$17)+((('Calcs - Power'!C14+'Calcs - Power'!D14+'Calcs - Power'!E14+'Calcs - Power'!F14)*($D$10+$D$11-$D$12-$D$13-$D$14-$D$15))/((102*'Calcs - Power'!B14)*($D$16+$D$17))))</f>
        <v>2.0000000000000014E-2</v>
      </c>
      <c r="C35" s="455">
        <f>'Methane Leakage'!$G$5*((($J$6+$J$7-$J$8)/$J$13)+((('Calcs - Transp'!$C14+'Calcs - Transp'!$D14+'Calcs - Transp'!$E14+'Calcs - Transp'!$F14)*($J$9+$J$10-$J$11-$J$12))/((102*'Calcs - Transp'!$B14)*$J$13)))</f>
        <v>2.8000000000000014E-2</v>
      </c>
      <c r="D35" s="455">
        <f>'Methane Leakage'!$G$5*((($P$6+$P$7-$P$8)/$P$13)+((('Calcs - Transp'!$C14+'Calcs - Transp'!$D14+'Calcs - Transp'!$E14+'Calcs - Transp'!$F14)*($P$9+$P$10-$P$11-$P$12))/((102*'Calcs - Transp'!$B14)*$P$13)))</f>
        <v>2.8000000000000014E-2</v>
      </c>
    </row>
    <row r="36" spans="1:4" x14ac:dyDescent="0.3">
      <c r="A36" s="358">
        <f t="shared" si="4"/>
        <v>4</v>
      </c>
      <c r="B36" s="455">
        <f>'Methane Leakage'!$C$5*(($D$6+$D$7-$D$8-$D$9)/($D$16+$D$17)+((('Calcs - Power'!C15+'Calcs - Power'!D15+'Calcs - Power'!E15+'Calcs - Power'!F15)*($D$10+$D$11-$D$12-$D$13-$D$14-$D$15))/((102*'Calcs - Power'!B15)*($D$16+$D$17))))</f>
        <v>2.0000000000000014E-2</v>
      </c>
      <c r="C36" s="455">
        <f>'Methane Leakage'!$G$5*((($J$6+$J$7-$J$8)/$J$13)+((('Calcs - Transp'!$C15+'Calcs - Transp'!$D15+'Calcs - Transp'!$E15+'Calcs - Transp'!$F15)*($J$9+$J$10-$J$11-$J$12))/((102*'Calcs - Transp'!$B15)*$J$13)))</f>
        <v>2.8000000000000014E-2</v>
      </c>
      <c r="D36" s="455">
        <f>'Methane Leakage'!$G$5*((($P$6+$P$7-$P$8)/$P$13)+((('Calcs - Transp'!$C15+'Calcs - Transp'!$D15+'Calcs - Transp'!$E15+'Calcs - Transp'!$F15)*($P$9+$P$10-$P$11-$P$12))/((102*'Calcs - Transp'!$B15)*$P$13)))</f>
        <v>2.8000000000000014E-2</v>
      </c>
    </row>
    <row r="37" spans="1:4" x14ac:dyDescent="0.3">
      <c r="A37" s="358">
        <f t="shared" si="4"/>
        <v>5</v>
      </c>
      <c r="B37" s="455">
        <f>'Methane Leakage'!$C$5*(($D$6+$D$7-$D$8-$D$9)/($D$16+$D$17)+((('Calcs - Power'!C16+'Calcs - Power'!D16+'Calcs - Power'!E16+'Calcs - Power'!F16)*($D$10+$D$11-$D$12-$D$13-$D$14-$D$15))/((102*'Calcs - Power'!B16)*($D$16+$D$17))))</f>
        <v>2.0000000000000014E-2</v>
      </c>
      <c r="C37" s="455">
        <f>'Methane Leakage'!$G$5*((($J$6+$J$7-$J$8)/$J$13)+((('Calcs - Transp'!$C16+'Calcs - Transp'!$D16+'Calcs - Transp'!$E16+'Calcs - Transp'!$F16)*($J$9+$J$10-$J$11-$J$12))/((102*'Calcs - Transp'!$B16)*$J$13)))</f>
        <v>2.8000000000000014E-2</v>
      </c>
      <c r="D37" s="455">
        <f>'Methane Leakage'!$G$5*((($P$6+$P$7-$P$8)/$P$13)+((('Calcs - Transp'!$C16+'Calcs - Transp'!$D16+'Calcs - Transp'!$E16+'Calcs - Transp'!$F16)*($P$9+$P$10-$P$11-$P$12))/((102*'Calcs - Transp'!$B16)*$P$13)))</f>
        <v>2.8000000000000014E-2</v>
      </c>
    </row>
    <row r="38" spans="1:4" x14ac:dyDescent="0.3">
      <c r="A38" s="358">
        <f t="shared" si="4"/>
        <v>6</v>
      </c>
      <c r="B38" s="455">
        <f>'Methane Leakage'!$C$5*(($D$6+$D$7-$D$8-$D$9)/($D$16+$D$17)+((('Calcs - Power'!C17+'Calcs - Power'!D17+'Calcs - Power'!E17+'Calcs - Power'!F17)*($D$10+$D$11-$D$12-$D$13-$D$14-$D$15))/((102*'Calcs - Power'!B17)*($D$16+$D$17))))</f>
        <v>2.0000000000000014E-2</v>
      </c>
      <c r="C38" s="455">
        <f>'Methane Leakage'!$G$5*((($J$6+$J$7-$J$8)/$J$13)+((('Calcs - Transp'!$C17+'Calcs - Transp'!$D17+'Calcs - Transp'!$E17+'Calcs - Transp'!$F17)*($J$9+$J$10-$J$11-$J$12))/((102*'Calcs - Transp'!$B17)*$J$13)))</f>
        <v>2.8000000000000014E-2</v>
      </c>
      <c r="D38" s="455">
        <f>'Methane Leakage'!$G$5*((($P$6+$P$7-$P$8)/$P$13)+((('Calcs - Transp'!$C17+'Calcs - Transp'!$D17+'Calcs - Transp'!$E17+'Calcs - Transp'!$F17)*($P$9+$P$10-$P$11-$P$12))/((102*'Calcs - Transp'!$B17)*$P$13)))</f>
        <v>2.8000000000000014E-2</v>
      </c>
    </row>
    <row r="39" spans="1:4" x14ac:dyDescent="0.3">
      <c r="A39" s="358">
        <f t="shared" si="4"/>
        <v>7</v>
      </c>
      <c r="B39" s="455">
        <f>'Methane Leakage'!$C$5*(($D$6+$D$7-$D$8-$D$9)/($D$16+$D$17)+((('Calcs - Power'!C18+'Calcs - Power'!D18+'Calcs - Power'!E18+'Calcs - Power'!F18)*($D$10+$D$11-$D$12-$D$13-$D$14-$D$15))/((102*'Calcs - Power'!B18)*($D$16+$D$17))))</f>
        <v>2.0000000000000014E-2</v>
      </c>
      <c r="C39" s="455">
        <f>'Methane Leakage'!$G$5*((($J$6+$J$7-$J$8)/$J$13)+((('Calcs - Transp'!$C18+'Calcs - Transp'!$D18+'Calcs - Transp'!$E18+'Calcs - Transp'!$F18)*($J$9+$J$10-$J$11-$J$12))/((102*'Calcs - Transp'!$B18)*$J$13)))</f>
        <v>2.8000000000000014E-2</v>
      </c>
      <c r="D39" s="455">
        <f>'Methane Leakage'!$G$5*((($P$6+$P$7-$P$8)/$P$13)+((('Calcs - Transp'!$C18+'Calcs - Transp'!$D18+'Calcs - Transp'!$E18+'Calcs - Transp'!$F18)*($P$9+$P$10-$P$11-$P$12))/((102*'Calcs - Transp'!$B18)*$P$13)))</f>
        <v>2.8000000000000014E-2</v>
      </c>
    </row>
    <row r="40" spans="1:4" x14ac:dyDescent="0.3">
      <c r="A40" s="358">
        <f t="shared" si="4"/>
        <v>8</v>
      </c>
      <c r="B40" s="455">
        <f>'Methane Leakage'!$C$5*(($D$6+$D$7-$D$8-$D$9)/($D$16+$D$17)+((('Calcs - Power'!C19+'Calcs - Power'!D19+'Calcs - Power'!E19+'Calcs - Power'!F19)*($D$10+$D$11-$D$12-$D$13-$D$14-$D$15))/((102*'Calcs - Power'!B19)*($D$16+$D$17))))</f>
        <v>2.0000000000000014E-2</v>
      </c>
      <c r="C40" s="455">
        <f>'Methane Leakage'!$G$5*((($J$6+$J$7-$J$8)/$J$13)+((('Calcs - Transp'!$C19+'Calcs - Transp'!$D19+'Calcs - Transp'!$E19+'Calcs - Transp'!$F19)*($J$9+$J$10-$J$11-$J$12))/((102*'Calcs - Transp'!$B19)*$J$13)))</f>
        <v>2.8000000000000014E-2</v>
      </c>
      <c r="D40" s="455">
        <f>'Methane Leakage'!$G$5*((($P$6+$P$7-$P$8)/$P$13)+((('Calcs - Transp'!$C19+'Calcs - Transp'!$D19+'Calcs - Transp'!$E19+'Calcs - Transp'!$F19)*($P$9+$P$10-$P$11-$P$12))/((102*'Calcs - Transp'!$B19)*$P$13)))</f>
        <v>2.8000000000000014E-2</v>
      </c>
    </row>
    <row r="41" spans="1:4" x14ac:dyDescent="0.3">
      <c r="A41" s="358">
        <f t="shared" si="4"/>
        <v>9</v>
      </c>
      <c r="B41" s="455">
        <f>'Methane Leakage'!$C$5*(($D$6+$D$7-$D$8-$D$9)/($D$16+$D$17)+((('Calcs - Power'!C20+'Calcs - Power'!D20+'Calcs - Power'!E20+'Calcs - Power'!F20)*($D$10+$D$11-$D$12-$D$13-$D$14-$D$15))/((102*'Calcs - Power'!B20)*($D$16+$D$17))))</f>
        <v>2.0000000000000014E-2</v>
      </c>
      <c r="C41" s="455">
        <f>'Methane Leakage'!$G$5*((($J$6+$J$7-$J$8)/$J$13)+((('Calcs - Transp'!$C20+'Calcs - Transp'!$D20+'Calcs - Transp'!$E20+'Calcs - Transp'!$F20)*($J$9+$J$10-$J$11-$J$12))/((102*'Calcs - Transp'!$B20)*$J$13)))</f>
        <v>2.8000000000000014E-2</v>
      </c>
      <c r="D41" s="455">
        <f>'Methane Leakage'!$G$5*((($P$6+$P$7-$P$8)/$P$13)+((('Calcs - Transp'!$C20+'Calcs - Transp'!$D20+'Calcs - Transp'!$E20+'Calcs - Transp'!$F20)*($P$9+$P$10-$P$11-$P$12))/((102*'Calcs - Transp'!$B20)*$P$13)))</f>
        <v>2.8000000000000014E-2</v>
      </c>
    </row>
    <row r="42" spans="1:4" x14ac:dyDescent="0.3">
      <c r="A42" s="358">
        <f t="shared" si="4"/>
        <v>10</v>
      </c>
      <c r="B42" s="455">
        <f>'Methane Leakage'!$C$5*(($D$6+$D$7-$D$8-$D$9)/($D$16+$D$17)+((('Calcs - Power'!C21+'Calcs - Power'!D21+'Calcs - Power'!E21+'Calcs - Power'!F21)*($D$10+$D$11-$D$12-$D$13-$D$14-$D$15))/((102*'Calcs - Power'!B21)*($D$16+$D$17))))</f>
        <v>2.0000000000000014E-2</v>
      </c>
      <c r="C42" s="455">
        <f>'Methane Leakage'!$G$5*((($J$6+$J$7-$J$8)/$J$13)+((('Calcs - Transp'!$C21+'Calcs - Transp'!$D21+'Calcs - Transp'!$E21+'Calcs - Transp'!$F21)*($J$9+$J$10-$J$11-$J$12))/((102*'Calcs - Transp'!$B21)*$J$13)))</f>
        <v>2.8000000000000014E-2</v>
      </c>
      <c r="D42" s="455">
        <f>'Methane Leakage'!$G$5*((($P$6+$P$7-$P$8)/$P$13)+((('Calcs - Transp'!$C21+'Calcs - Transp'!$D21+'Calcs - Transp'!$E21+'Calcs - Transp'!$F21)*($P$9+$P$10-$P$11-$P$12))/((102*'Calcs - Transp'!$B21)*$P$13)))</f>
        <v>2.8000000000000014E-2</v>
      </c>
    </row>
    <row r="43" spans="1:4" x14ac:dyDescent="0.3">
      <c r="A43" s="358">
        <f t="shared" si="4"/>
        <v>11</v>
      </c>
      <c r="B43" s="455">
        <f>'Methane Leakage'!$C$5*(($D$6+$D$7-$D$8-$D$9)/($D$16+$D$17)+((('Calcs - Power'!C22+'Calcs - Power'!D22+'Calcs - Power'!E22+'Calcs - Power'!F22)*($D$10+$D$11-$D$12-$D$13-$D$14-$D$15))/((102*'Calcs - Power'!B22)*($D$16+$D$17))))</f>
        <v>2.0000000000000014E-2</v>
      </c>
      <c r="C43" s="455">
        <f>'Methane Leakage'!$G$5*((($J$6+$J$7-$J$8)/$J$13)+((('Calcs - Transp'!$C22+'Calcs - Transp'!$D22+'Calcs - Transp'!$E22+'Calcs - Transp'!$F22)*($J$9+$J$10-$J$11-$J$12))/((102*'Calcs - Transp'!$B22)*$J$13)))</f>
        <v>2.8000000000000014E-2</v>
      </c>
      <c r="D43" s="455">
        <f>'Methane Leakage'!$G$5*((($P$6+$P$7-$P$8)/$P$13)+((('Calcs - Transp'!$C22+'Calcs - Transp'!$D22+'Calcs - Transp'!$E22+'Calcs - Transp'!$F22)*($P$9+$P$10-$P$11-$P$12))/((102*'Calcs - Transp'!$B22)*$P$13)))</f>
        <v>2.8000000000000014E-2</v>
      </c>
    </row>
    <row r="44" spans="1:4" x14ac:dyDescent="0.3">
      <c r="A44" s="358">
        <f t="shared" si="4"/>
        <v>12</v>
      </c>
      <c r="B44" s="455">
        <f>'Methane Leakage'!$C$5*(($D$6+$D$7-$D$8-$D$9)/($D$16+$D$17)+((('Calcs - Power'!C23+'Calcs - Power'!D23+'Calcs - Power'!E23+'Calcs - Power'!F23)*($D$10+$D$11-$D$12-$D$13-$D$14-$D$15))/((102*'Calcs - Power'!B23)*($D$16+$D$17))))</f>
        <v>2.0000000000000014E-2</v>
      </c>
      <c r="C44" s="455">
        <f>'Methane Leakage'!$G$5*((($J$6+$J$7-$J$8)/$J$13)+((('Calcs - Transp'!$C23+'Calcs - Transp'!$D23+'Calcs - Transp'!$E23+'Calcs - Transp'!$F23)*($J$9+$J$10-$J$11-$J$12))/((102*'Calcs - Transp'!$B23)*$J$13)))</f>
        <v>2.8000000000000014E-2</v>
      </c>
      <c r="D44" s="455">
        <f>'Methane Leakage'!$G$5*((($P$6+$P$7-$P$8)/$P$13)+((('Calcs - Transp'!$C23+'Calcs - Transp'!$D23+'Calcs - Transp'!$E23+'Calcs - Transp'!$F23)*($P$9+$P$10-$P$11-$P$12))/((102*'Calcs - Transp'!$B23)*$P$13)))</f>
        <v>2.8000000000000014E-2</v>
      </c>
    </row>
    <row r="45" spans="1:4" x14ac:dyDescent="0.3">
      <c r="A45" s="358">
        <f t="shared" si="4"/>
        <v>13</v>
      </c>
      <c r="B45" s="455">
        <f>'Methane Leakage'!$C$5*(($D$6+$D$7-$D$8-$D$9)/($D$16+$D$17)+((('Calcs - Power'!C24+'Calcs - Power'!D24+'Calcs - Power'!E24+'Calcs - Power'!F24)*($D$10+$D$11-$D$12-$D$13-$D$14-$D$15))/((102*'Calcs - Power'!B24)*($D$16+$D$17))))</f>
        <v>2.0000000000000014E-2</v>
      </c>
      <c r="C45" s="455">
        <f>'Methane Leakage'!$G$5*((($J$6+$J$7-$J$8)/$J$13)+((('Calcs - Transp'!$C24+'Calcs - Transp'!$D24+'Calcs - Transp'!$E24+'Calcs - Transp'!$F24)*($J$9+$J$10-$J$11-$J$12))/((102*'Calcs - Transp'!$B24)*$J$13)))</f>
        <v>2.8000000000000014E-2</v>
      </c>
      <c r="D45" s="455">
        <f>'Methane Leakage'!$G$5*((($P$6+$P$7-$P$8)/$P$13)+((('Calcs - Transp'!$C24+'Calcs - Transp'!$D24+'Calcs - Transp'!$E24+'Calcs - Transp'!$F24)*($P$9+$P$10-$P$11-$P$12))/((102*'Calcs - Transp'!$B24)*$P$13)))</f>
        <v>2.8000000000000014E-2</v>
      </c>
    </row>
    <row r="46" spans="1:4" x14ac:dyDescent="0.3">
      <c r="A46" s="358">
        <f t="shared" si="4"/>
        <v>14</v>
      </c>
      <c r="B46" s="455">
        <f>'Methane Leakage'!$C$5*(($D$6+$D$7-$D$8-$D$9)/($D$16+$D$17)+((('Calcs - Power'!C25+'Calcs - Power'!D25+'Calcs - Power'!E25+'Calcs - Power'!F25)*($D$10+$D$11-$D$12-$D$13-$D$14-$D$15))/((102*'Calcs - Power'!B25)*($D$16+$D$17))))</f>
        <v>2.0000000000000014E-2</v>
      </c>
      <c r="C46" s="455">
        <f>'Methane Leakage'!$G$5*((($J$6+$J$7-$J$8)/$J$13)+((('Calcs - Transp'!$C25+'Calcs - Transp'!$D25+'Calcs - Transp'!$E25+'Calcs - Transp'!$F25)*($J$9+$J$10-$J$11-$J$12))/((102*'Calcs - Transp'!$B25)*$J$13)))</f>
        <v>2.8000000000000014E-2</v>
      </c>
      <c r="D46" s="455">
        <f>'Methane Leakage'!$G$5*((($P$6+$P$7-$P$8)/$P$13)+((('Calcs - Transp'!$C25+'Calcs - Transp'!$D25+'Calcs - Transp'!$E25+'Calcs - Transp'!$F25)*($P$9+$P$10-$P$11-$P$12))/((102*'Calcs - Transp'!$B25)*$P$13)))</f>
        <v>2.8000000000000014E-2</v>
      </c>
    </row>
    <row r="47" spans="1:4" x14ac:dyDescent="0.3">
      <c r="A47" s="358">
        <f t="shared" si="4"/>
        <v>15</v>
      </c>
      <c r="B47" s="455">
        <f>'Methane Leakage'!$C$5*(($D$6+$D$7-$D$8-$D$9)/($D$16+$D$17)+((('Calcs - Power'!C26+'Calcs - Power'!D26+'Calcs - Power'!E26+'Calcs - Power'!F26)*($D$10+$D$11-$D$12-$D$13-$D$14-$D$15))/((102*'Calcs - Power'!B26)*($D$16+$D$17))))</f>
        <v>2.0000000000000014E-2</v>
      </c>
      <c r="C47" s="455">
        <f>'Methane Leakage'!$G$5*((($J$6+$J$7-$J$8)/$J$13)+((('Calcs - Transp'!$C26+'Calcs - Transp'!$D26+'Calcs - Transp'!$E26+'Calcs - Transp'!$F26)*($J$9+$J$10-$J$11-$J$12))/((102*'Calcs - Transp'!$B26)*$J$13)))</f>
        <v>2.8000000000000014E-2</v>
      </c>
      <c r="D47" s="455">
        <f>'Methane Leakage'!$G$5*((($P$6+$P$7-$P$8)/$P$13)+((('Calcs - Transp'!$C26+'Calcs - Transp'!$D26+'Calcs - Transp'!$E26+'Calcs - Transp'!$F26)*($P$9+$P$10-$P$11-$P$12))/((102*'Calcs - Transp'!$B26)*$P$13)))</f>
        <v>2.8000000000000014E-2</v>
      </c>
    </row>
    <row r="48" spans="1:4" x14ac:dyDescent="0.3">
      <c r="A48" s="358">
        <f t="shared" si="4"/>
        <v>16</v>
      </c>
      <c r="B48" s="455">
        <f>'Methane Leakage'!$C$5*(($D$6+$D$7-$D$8-$D$9)/($D$16+$D$17)+((('Calcs - Power'!C27+'Calcs - Power'!D27+'Calcs - Power'!E27+'Calcs - Power'!F27)*($D$10+$D$11-$D$12-$D$13-$D$14-$D$15))/((102*'Calcs - Power'!B27)*($D$16+$D$17))))</f>
        <v>2.0000000000000014E-2</v>
      </c>
      <c r="C48" s="455">
        <f>'Methane Leakage'!$G$5*((($J$6+$J$7-$J$8)/$J$13)+((('Calcs - Transp'!$C27+'Calcs - Transp'!$D27+'Calcs - Transp'!$E27+'Calcs - Transp'!$F27)*($J$9+$J$10-$J$11-$J$12))/((102*'Calcs - Transp'!$B27)*$J$13)))</f>
        <v>2.8000000000000014E-2</v>
      </c>
      <c r="D48" s="455">
        <f>'Methane Leakage'!$G$5*((($P$6+$P$7-$P$8)/$P$13)+((('Calcs - Transp'!$C27+'Calcs - Transp'!$D27+'Calcs - Transp'!$E27+'Calcs - Transp'!$F27)*($P$9+$P$10-$P$11-$P$12))/((102*'Calcs - Transp'!$B27)*$P$13)))</f>
        <v>2.8000000000000014E-2</v>
      </c>
    </row>
    <row r="49" spans="1:4" x14ac:dyDescent="0.3">
      <c r="A49" s="358">
        <f t="shared" si="4"/>
        <v>17</v>
      </c>
      <c r="B49" s="455">
        <f>'Methane Leakage'!$C$5*(($D$6+$D$7-$D$8-$D$9)/($D$16+$D$17)+((('Calcs - Power'!C28+'Calcs - Power'!D28+'Calcs - Power'!E28+'Calcs - Power'!F28)*($D$10+$D$11-$D$12-$D$13-$D$14-$D$15))/((102*'Calcs - Power'!B28)*($D$16+$D$17))))</f>
        <v>2.0000000000000014E-2</v>
      </c>
      <c r="C49" s="455">
        <f>'Methane Leakage'!$G$5*((($J$6+$J$7-$J$8)/$J$13)+((('Calcs - Transp'!$C28+'Calcs - Transp'!$D28+'Calcs - Transp'!$E28+'Calcs - Transp'!$F28)*($J$9+$J$10-$J$11-$J$12))/((102*'Calcs - Transp'!$B28)*$J$13)))</f>
        <v>2.8000000000000014E-2</v>
      </c>
      <c r="D49" s="455">
        <f>'Methane Leakage'!$G$5*((($P$6+$P$7-$P$8)/$P$13)+((('Calcs - Transp'!$C28+'Calcs - Transp'!$D28+'Calcs - Transp'!$E28+'Calcs - Transp'!$F28)*($P$9+$P$10-$P$11-$P$12))/((102*'Calcs - Transp'!$B28)*$P$13)))</f>
        <v>2.8000000000000014E-2</v>
      </c>
    </row>
    <row r="50" spans="1:4" x14ac:dyDescent="0.3">
      <c r="A50" s="358">
        <f t="shared" si="4"/>
        <v>18</v>
      </c>
      <c r="B50" s="455">
        <f>'Methane Leakage'!$C$5*(($D$6+$D$7-$D$8-$D$9)/($D$16+$D$17)+((('Calcs - Power'!C29+'Calcs - Power'!D29+'Calcs - Power'!E29+'Calcs - Power'!F29)*($D$10+$D$11-$D$12-$D$13-$D$14-$D$15))/((102*'Calcs - Power'!B29)*($D$16+$D$17))))</f>
        <v>2.0000000000000014E-2</v>
      </c>
      <c r="C50" s="455">
        <f>'Methane Leakage'!$G$5*((($J$6+$J$7-$J$8)/$J$13)+((('Calcs - Transp'!$C29+'Calcs - Transp'!$D29+'Calcs - Transp'!$E29+'Calcs - Transp'!$F29)*($J$9+$J$10-$J$11-$J$12))/((102*'Calcs - Transp'!$B29)*$J$13)))</f>
        <v>2.8000000000000014E-2</v>
      </c>
      <c r="D50" s="455">
        <f>'Methane Leakage'!$G$5*((($P$6+$P$7-$P$8)/$P$13)+((('Calcs - Transp'!$C29+'Calcs - Transp'!$D29+'Calcs - Transp'!$E29+'Calcs - Transp'!$F29)*($P$9+$P$10-$P$11-$P$12))/((102*'Calcs - Transp'!$B29)*$P$13)))</f>
        <v>2.8000000000000014E-2</v>
      </c>
    </row>
    <row r="51" spans="1:4" x14ac:dyDescent="0.3">
      <c r="A51" s="358">
        <f t="shared" si="4"/>
        <v>19</v>
      </c>
      <c r="B51" s="455">
        <f>'Methane Leakage'!$C$5*(($D$6+$D$7-$D$8-$D$9)/($D$16+$D$17)+((('Calcs - Power'!C30+'Calcs - Power'!D30+'Calcs - Power'!E30+'Calcs - Power'!F30)*($D$10+$D$11-$D$12-$D$13-$D$14-$D$15))/((102*'Calcs - Power'!B30)*($D$16+$D$17))))</f>
        <v>2.0000000000000014E-2</v>
      </c>
      <c r="C51" s="455">
        <f>'Methane Leakage'!$G$5*((($J$6+$J$7-$J$8)/$J$13)+((('Calcs - Transp'!$C30+'Calcs - Transp'!$D30+'Calcs - Transp'!$E30+'Calcs - Transp'!$F30)*($J$9+$J$10-$J$11-$J$12))/((102*'Calcs - Transp'!$B30)*$J$13)))</f>
        <v>2.8000000000000014E-2</v>
      </c>
      <c r="D51" s="455">
        <f>'Methane Leakage'!$G$5*((($P$6+$P$7-$P$8)/$P$13)+((('Calcs - Transp'!$C30+'Calcs - Transp'!$D30+'Calcs - Transp'!$E30+'Calcs - Transp'!$F30)*($P$9+$P$10-$P$11-$P$12))/((102*'Calcs - Transp'!$B30)*$P$13)))</f>
        <v>2.8000000000000014E-2</v>
      </c>
    </row>
    <row r="52" spans="1:4" x14ac:dyDescent="0.3">
      <c r="A52" s="358">
        <f t="shared" si="4"/>
        <v>20</v>
      </c>
      <c r="B52" s="455">
        <f>'Methane Leakage'!$C$5*(($D$6+$D$7-$D$8-$D$9)/($D$16+$D$17)+((('Calcs - Power'!C31+'Calcs - Power'!D31+'Calcs - Power'!E31+'Calcs - Power'!F31)*($D$10+$D$11-$D$12-$D$13-$D$14-$D$15))/((102*'Calcs - Power'!B31)*($D$16+$D$17))))</f>
        <v>2.0000000000000014E-2</v>
      </c>
      <c r="C52" s="455">
        <f>'Methane Leakage'!$G$5*((($J$6+$J$7-$J$8)/$J$13)+((('Calcs - Transp'!$C31+'Calcs - Transp'!$D31+'Calcs - Transp'!$E31+'Calcs - Transp'!$F31)*($J$9+$J$10-$J$11-$J$12))/((102*'Calcs - Transp'!$B31)*$J$13)))</f>
        <v>2.8000000000000014E-2</v>
      </c>
      <c r="D52" s="455">
        <f>'Methane Leakage'!$G$5*((($P$6+$P$7-$P$8)/$P$13)+((('Calcs - Transp'!$C31+'Calcs - Transp'!$D31+'Calcs - Transp'!$E31+'Calcs - Transp'!$F31)*($P$9+$P$10-$P$11-$P$12))/((102*'Calcs - Transp'!$B31)*$P$13)))</f>
        <v>2.8000000000000014E-2</v>
      </c>
    </row>
    <row r="53" spans="1:4" x14ac:dyDescent="0.3">
      <c r="A53" s="358">
        <f t="shared" si="4"/>
        <v>21</v>
      </c>
      <c r="B53" s="455">
        <f>'Methane Leakage'!$C$5*(($D$6+$D$7-$D$8-$D$9)/($D$16+$D$17)+((('Calcs - Power'!C32+'Calcs - Power'!D32+'Calcs - Power'!E32+'Calcs - Power'!F32)*($D$10+$D$11-$D$12-$D$13-$D$14-$D$15))/((102*'Calcs - Power'!B32)*($D$16+$D$17))))</f>
        <v>2.0000000000000014E-2</v>
      </c>
      <c r="C53" s="455">
        <f>'Methane Leakage'!$G$5*((($J$6+$J$7-$J$8)/$J$13)+((('Calcs - Transp'!$C32+'Calcs - Transp'!$D32+'Calcs - Transp'!$E32+'Calcs - Transp'!$F32)*($J$9+$J$10-$J$11-$J$12))/((102*'Calcs - Transp'!$B32)*$J$13)))</f>
        <v>2.8000000000000014E-2</v>
      </c>
      <c r="D53" s="455">
        <f>'Methane Leakage'!$G$5*((($P$6+$P$7-$P$8)/$P$13)+((('Calcs - Transp'!$C32+'Calcs - Transp'!$D32+'Calcs - Transp'!$E32+'Calcs - Transp'!$F32)*($P$9+$P$10-$P$11-$P$12))/((102*'Calcs - Transp'!$B32)*$P$13)))</f>
        <v>2.8000000000000014E-2</v>
      </c>
    </row>
    <row r="54" spans="1:4" x14ac:dyDescent="0.3">
      <c r="A54" s="358">
        <f t="shared" si="4"/>
        <v>22</v>
      </c>
      <c r="B54" s="455">
        <f>'Methane Leakage'!$C$5*(($D$6+$D$7-$D$8-$D$9)/($D$16+$D$17)+((('Calcs - Power'!C33+'Calcs - Power'!D33+'Calcs - Power'!E33+'Calcs - Power'!F33)*($D$10+$D$11-$D$12-$D$13-$D$14-$D$15))/((102*'Calcs - Power'!B33)*($D$16+$D$17))))</f>
        <v>2.0000000000000014E-2</v>
      </c>
      <c r="C54" s="455">
        <f>'Methane Leakage'!$G$5*((($J$6+$J$7-$J$8)/$J$13)+((('Calcs - Transp'!$C33+'Calcs - Transp'!$D33+'Calcs - Transp'!$E33+'Calcs - Transp'!$F33)*($J$9+$J$10-$J$11-$J$12))/((102*'Calcs - Transp'!$B33)*$J$13)))</f>
        <v>2.8000000000000014E-2</v>
      </c>
      <c r="D54" s="455">
        <f>'Methane Leakage'!$G$5*((($P$6+$P$7-$P$8)/$P$13)+((('Calcs - Transp'!$C33+'Calcs - Transp'!$D33+'Calcs - Transp'!$E33+'Calcs - Transp'!$F33)*($P$9+$P$10-$P$11-$P$12))/((102*'Calcs - Transp'!$B33)*$P$13)))</f>
        <v>2.8000000000000014E-2</v>
      </c>
    </row>
    <row r="55" spans="1:4" x14ac:dyDescent="0.3">
      <c r="A55" s="358">
        <f t="shared" si="4"/>
        <v>23</v>
      </c>
      <c r="B55" s="455">
        <f>'Methane Leakage'!$C$5*(($D$6+$D$7-$D$8-$D$9)/($D$16+$D$17)+((('Calcs - Power'!C34+'Calcs - Power'!D34+'Calcs - Power'!E34+'Calcs - Power'!F34)*($D$10+$D$11-$D$12-$D$13-$D$14-$D$15))/((102*'Calcs - Power'!B34)*($D$16+$D$17))))</f>
        <v>2.0000000000000014E-2</v>
      </c>
      <c r="C55" s="455">
        <f>'Methane Leakage'!$G$5*((($J$6+$J$7-$J$8)/$J$13)+((('Calcs - Transp'!$C34+'Calcs - Transp'!$D34+'Calcs - Transp'!$E34+'Calcs - Transp'!$F34)*($J$9+$J$10-$J$11-$J$12))/((102*'Calcs - Transp'!$B34)*$J$13)))</f>
        <v>2.8000000000000014E-2</v>
      </c>
      <c r="D55" s="455">
        <f>'Methane Leakage'!$G$5*((($P$6+$P$7-$P$8)/$P$13)+((('Calcs - Transp'!$C34+'Calcs - Transp'!$D34+'Calcs - Transp'!$E34+'Calcs - Transp'!$F34)*($P$9+$P$10-$P$11-$P$12))/((102*'Calcs - Transp'!$B34)*$P$13)))</f>
        <v>2.8000000000000014E-2</v>
      </c>
    </row>
    <row r="56" spans="1:4" x14ac:dyDescent="0.3">
      <c r="A56" s="358">
        <f t="shared" si="4"/>
        <v>24</v>
      </c>
      <c r="B56" s="455">
        <f>'Methane Leakage'!$C$5*(($D$6+$D$7-$D$8-$D$9)/($D$16+$D$17)+((('Calcs - Power'!C35+'Calcs - Power'!D35+'Calcs - Power'!E35+'Calcs - Power'!F35)*($D$10+$D$11-$D$12-$D$13-$D$14-$D$15))/((102*'Calcs - Power'!B35)*($D$16+$D$17))))</f>
        <v>2.0000000000000014E-2</v>
      </c>
      <c r="C56" s="455">
        <f>'Methane Leakage'!$G$5*((($J$6+$J$7-$J$8)/$J$13)+((('Calcs - Transp'!$C35+'Calcs - Transp'!$D35+'Calcs - Transp'!$E35+'Calcs - Transp'!$F35)*($J$9+$J$10-$J$11-$J$12))/((102*'Calcs - Transp'!$B35)*$J$13)))</f>
        <v>2.8000000000000014E-2</v>
      </c>
      <c r="D56" s="455">
        <f>'Methane Leakage'!$G$5*((($P$6+$P$7-$P$8)/$P$13)+((('Calcs - Transp'!$C35+'Calcs - Transp'!$D35+'Calcs - Transp'!$E35+'Calcs - Transp'!$F35)*($P$9+$P$10-$P$11-$P$12))/((102*'Calcs - Transp'!$B35)*$P$13)))</f>
        <v>2.8000000000000014E-2</v>
      </c>
    </row>
    <row r="57" spans="1:4" x14ac:dyDescent="0.3">
      <c r="A57" s="358">
        <f t="shared" si="4"/>
        <v>25</v>
      </c>
      <c r="B57" s="455">
        <f>'Methane Leakage'!$C$5*(($D$6+$D$7-$D$8-$D$9)/($D$16+$D$17)+((('Calcs - Power'!C36+'Calcs - Power'!D36+'Calcs - Power'!E36+'Calcs - Power'!F36)*($D$10+$D$11-$D$12-$D$13-$D$14-$D$15))/((102*'Calcs - Power'!B36)*($D$16+$D$17))))</f>
        <v>2.0000000000000018E-2</v>
      </c>
      <c r="C57" s="455">
        <f>'Methane Leakage'!$G$5*((($J$6+$J$7-$J$8)/$J$13)+((('Calcs - Transp'!$C36+'Calcs - Transp'!$D36+'Calcs - Transp'!$E36+'Calcs - Transp'!$F36)*($J$9+$J$10-$J$11-$J$12))/((102*'Calcs - Transp'!$B36)*$J$13)))</f>
        <v>2.8000000000000014E-2</v>
      </c>
      <c r="D57" s="455">
        <f>'Methane Leakage'!$G$5*((($P$6+$P$7-$P$8)/$P$13)+((('Calcs - Transp'!$C36+'Calcs - Transp'!$D36+'Calcs - Transp'!$E36+'Calcs - Transp'!$F36)*($P$9+$P$10-$P$11-$P$12))/((102*'Calcs - Transp'!$B36)*$P$13)))</f>
        <v>2.8000000000000014E-2</v>
      </c>
    </row>
    <row r="58" spans="1:4" x14ac:dyDescent="0.3">
      <c r="A58" s="358">
        <f t="shared" si="4"/>
        <v>26</v>
      </c>
      <c r="B58" s="455">
        <f>'Methane Leakage'!$C$5*(($D$6+$D$7-$D$8-$D$9)/($D$16+$D$17)+((('Calcs - Power'!C37+'Calcs - Power'!D37+'Calcs - Power'!E37+'Calcs - Power'!F37)*($D$10+$D$11-$D$12-$D$13-$D$14-$D$15))/((102*'Calcs - Power'!B37)*($D$16+$D$17))))</f>
        <v>2.0000000000000018E-2</v>
      </c>
      <c r="C58" s="455">
        <f>'Methane Leakage'!$G$5*((($J$6+$J$7-$J$8)/$J$13)+((('Calcs - Transp'!$C37+'Calcs - Transp'!$D37+'Calcs - Transp'!$E37+'Calcs - Transp'!$F37)*($J$9+$J$10-$J$11-$J$12))/((102*'Calcs - Transp'!$B37)*$J$13)))</f>
        <v>2.8000000000000014E-2</v>
      </c>
      <c r="D58" s="455">
        <f>'Methane Leakage'!$G$5*((($P$6+$P$7-$P$8)/$P$13)+((('Calcs - Transp'!$C37+'Calcs - Transp'!$D37+'Calcs - Transp'!$E37+'Calcs - Transp'!$F37)*($P$9+$P$10-$P$11-$P$12))/((102*'Calcs - Transp'!$B37)*$P$13)))</f>
        <v>2.8000000000000014E-2</v>
      </c>
    </row>
    <row r="59" spans="1:4" x14ac:dyDescent="0.3">
      <c r="A59" s="358">
        <f t="shared" si="4"/>
        <v>27</v>
      </c>
      <c r="B59" s="455">
        <f>'Methane Leakage'!$C$5*(($D$6+$D$7-$D$8-$D$9)/($D$16+$D$17)+((('Calcs - Power'!C38+'Calcs - Power'!D38+'Calcs - Power'!E38+'Calcs - Power'!F38)*($D$10+$D$11-$D$12-$D$13-$D$14-$D$15))/((102*'Calcs - Power'!B38)*($D$16+$D$17))))</f>
        <v>2.0000000000000018E-2</v>
      </c>
      <c r="C59" s="455">
        <f>'Methane Leakage'!$G$5*((($J$6+$J$7-$J$8)/$J$13)+((('Calcs - Transp'!$C38+'Calcs - Transp'!$D38+'Calcs - Transp'!$E38+'Calcs - Transp'!$F38)*($J$9+$J$10-$J$11-$J$12))/((102*'Calcs - Transp'!$B38)*$J$13)))</f>
        <v>2.8000000000000014E-2</v>
      </c>
      <c r="D59" s="455">
        <f>'Methane Leakage'!$G$5*((($P$6+$P$7-$P$8)/$P$13)+((('Calcs - Transp'!$C38+'Calcs - Transp'!$D38+'Calcs - Transp'!$E38+'Calcs - Transp'!$F38)*($P$9+$P$10-$P$11-$P$12))/((102*'Calcs - Transp'!$B38)*$P$13)))</f>
        <v>2.8000000000000014E-2</v>
      </c>
    </row>
    <row r="60" spans="1:4" x14ac:dyDescent="0.3">
      <c r="A60" s="358">
        <f t="shared" si="4"/>
        <v>28</v>
      </c>
      <c r="B60" s="455">
        <f>'Methane Leakage'!$C$5*(($D$6+$D$7-$D$8-$D$9)/($D$16+$D$17)+((('Calcs - Power'!C39+'Calcs - Power'!D39+'Calcs - Power'!E39+'Calcs - Power'!F39)*($D$10+$D$11-$D$12-$D$13-$D$14-$D$15))/((102*'Calcs - Power'!B39)*($D$16+$D$17))))</f>
        <v>2.0000000000000018E-2</v>
      </c>
      <c r="C60" s="455">
        <f>'Methane Leakage'!$G$5*((($J$6+$J$7-$J$8)/$J$13)+((('Calcs - Transp'!$C39+'Calcs - Transp'!$D39+'Calcs - Transp'!$E39+'Calcs - Transp'!$F39)*($J$9+$J$10-$J$11-$J$12))/((102*'Calcs - Transp'!$B39)*$J$13)))</f>
        <v>2.8000000000000014E-2</v>
      </c>
      <c r="D60" s="455">
        <f>'Methane Leakage'!$G$5*((($P$6+$P$7-$P$8)/$P$13)+((('Calcs - Transp'!$C39+'Calcs - Transp'!$D39+'Calcs - Transp'!$E39+'Calcs - Transp'!$F39)*($P$9+$P$10-$P$11-$P$12))/((102*'Calcs - Transp'!$B39)*$P$13)))</f>
        <v>2.8000000000000014E-2</v>
      </c>
    </row>
    <row r="61" spans="1:4" x14ac:dyDescent="0.3">
      <c r="A61" s="358">
        <f t="shared" si="4"/>
        <v>29</v>
      </c>
      <c r="B61" s="455">
        <f>'Methane Leakage'!$C$5*(($D$6+$D$7-$D$8-$D$9)/($D$16+$D$17)+((('Calcs - Power'!C40+'Calcs - Power'!D40+'Calcs - Power'!E40+'Calcs - Power'!F40)*($D$10+$D$11-$D$12-$D$13-$D$14-$D$15))/((102*'Calcs - Power'!B40)*($D$16+$D$17))))</f>
        <v>2.0000000000000018E-2</v>
      </c>
      <c r="C61" s="455">
        <f>'Methane Leakage'!$G$5*((($J$6+$J$7-$J$8)/$J$13)+((('Calcs - Transp'!$C40+'Calcs - Transp'!$D40+'Calcs - Transp'!$E40+'Calcs - Transp'!$F40)*($J$9+$J$10-$J$11-$J$12))/((102*'Calcs - Transp'!$B40)*$J$13)))</f>
        <v>2.8000000000000014E-2</v>
      </c>
      <c r="D61" s="455">
        <f>'Methane Leakage'!$G$5*((($P$6+$P$7-$P$8)/$P$13)+((('Calcs - Transp'!$C40+'Calcs - Transp'!$D40+'Calcs - Transp'!$E40+'Calcs - Transp'!$F40)*($P$9+$P$10-$P$11-$P$12))/((102*'Calcs - Transp'!$B40)*$P$13)))</f>
        <v>2.8000000000000014E-2</v>
      </c>
    </row>
    <row r="62" spans="1:4" x14ac:dyDescent="0.3">
      <c r="A62" s="358">
        <f t="shared" si="4"/>
        <v>30</v>
      </c>
      <c r="B62" s="455">
        <f>'Methane Leakage'!$C$5*(($D$6+$D$7-$D$8-$D$9)/($D$16+$D$17)+((('Calcs - Power'!C41+'Calcs - Power'!D41+'Calcs - Power'!E41+'Calcs - Power'!F41)*($D$10+$D$11-$D$12-$D$13-$D$14-$D$15))/((102*'Calcs - Power'!B41)*($D$16+$D$17))))</f>
        <v>2.0000000000000018E-2</v>
      </c>
      <c r="C62" s="455">
        <f>'Methane Leakage'!$G$5*((($J$6+$J$7-$J$8)/$J$13)+((('Calcs - Transp'!$C41+'Calcs - Transp'!$D41+'Calcs - Transp'!$E41+'Calcs - Transp'!$F41)*($J$9+$J$10-$J$11-$J$12))/((102*'Calcs - Transp'!$B41)*$J$13)))</f>
        <v>2.8000000000000014E-2</v>
      </c>
      <c r="D62" s="455">
        <f>'Methane Leakage'!$G$5*((($P$6+$P$7-$P$8)/$P$13)+((('Calcs - Transp'!$C41+'Calcs - Transp'!$D41+'Calcs - Transp'!$E41+'Calcs - Transp'!$F41)*($P$9+$P$10-$P$11-$P$12))/((102*'Calcs - Transp'!$B41)*$P$13)))</f>
        <v>2.8000000000000014E-2</v>
      </c>
    </row>
    <row r="63" spans="1:4" x14ac:dyDescent="0.3">
      <c r="A63" s="358">
        <f t="shared" si="4"/>
        <v>31</v>
      </c>
      <c r="B63" s="455">
        <f>'Methane Leakage'!$C$5*(($D$6+$D$7-$D$8-$D$9)/($D$16+$D$17)+((('Calcs - Power'!C42+'Calcs - Power'!D42+'Calcs - Power'!E42+'Calcs - Power'!F42)*($D$10+$D$11-$D$12-$D$13-$D$14-$D$15))/((102*'Calcs - Power'!B42)*($D$16+$D$17))))</f>
        <v>2.0000000000000018E-2</v>
      </c>
      <c r="C63" s="455">
        <f>'Methane Leakage'!$G$5*((($J$6+$J$7-$J$8)/$J$13)+((('Calcs - Transp'!$C42+'Calcs - Transp'!$D42+'Calcs - Transp'!$E42+'Calcs - Transp'!$F42)*($J$9+$J$10-$J$11-$J$12))/((102*'Calcs - Transp'!$B42)*$J$13)))</f>
        <v>2.8000000000000014E-2</v>
      </c>
      <c r="D63" s="455">
        <f>'Methane Leakage'!$G$5*((($P$6+$P$7-$P$8)/$P$13)+((('Calcs - Transp'!$C42+'Calcs - Transp'!$D42+'Calcs - Transp'!$E42+'Calcs - Transp'!$F42)*($P$9+$P$10-$P$11-$P$12))/((102*'Calcs - Transp'!$B42)*$P$13)))</f>
        <v>2.8000000000000014E-2</v>
      </c>
    </row>
    <row r="64" spans="1:4" x14ac:dyDescent="0.3">
      <c r="A64" s="358">
        <f t="shared" si="4"/>
        <v>32</v>
      </c>
      <c r="B64" s="455">
        <f>'Methane Leakage'!$C$5*(($D$6+$D$7-$D$8-$D$9)/($D$16+$D$17)+((('Calcs - Power'!C43+'Calcs - Power'!D43+'Calcs - Power'!E43+'Calcs - Power'!F43)*($D$10+$D$11-$D$12-$D$13-$D$14-$D$15))/((102*'Calcs - Power'!B43)*($D$16+$D$17))))</f>
        <v>2.0000000000000018E-2</v>
      </c>
      <c r="C64" s="455">
        <f>'Methane Leakage'!$G$5*((($J$6+$J$7-$J$8)/$J$13)+((('Calcs - Transp'!$C43+'Calcs - Transp'!$D43+'Calcs - Transp'!$E43+'Calcs - Transp'!$F43)*($J$9+$J$10-$J$11-$J$12))/((102*'Calcs - Transp'!$B43)*$J$13)))</f>
        <v>2.8000000000000014E-2</v>
      </c>
      <c r="D64" s="455">
        <f>'Methane Leakage'!$G$5*((($P$6+$P$7-$P$8)/$P$13)+((('Calcs - Transp'!$C43+'Calcs - Transp'!$D43+'Calcs - Transp'!$E43+'Calcs - Transp'!$F43)*($P$9+$P$10-$P$11-$P$12))/((102*'Calcs - Transp'!$B43)*$P$13)))</f>
        <v>2.8000000000000014E-2</v>
      </c>
    </row>
    <row r="65" spans="1:4" x14ac:dyDescent="0.3">
      <c r="A65" s="358">
        <f t="shared" si="4"/>
        <v>33</v>
      </c>
      <c r="B65" s="455">
        <f>'Methane Leakage'!$C$5*(($D$6+$D$7-$D$8-$D$9)/($D$16+$D$17)+((('Calcs - Power'!C44+'Calcs - Power'!D44+'Calcs - Power'!E44+'Calcs - Power'!F44)*($D$10+$D$11-$D$12-$D$13-$D$14-$D$15))/((102*'Calcs - Power'!B44)*($D$16+$D$17))))</f>
        <v>2.0000000000000018E-2</v>
      </c>
      <c r="C65" s="455">
        <f>'Methane Leakage'!$G$5*((($J$6+$J$7-$J$8)/$J$13)+((('Calcs - Transp'!$C44+'Calcs - Transp'!$D44+'Calcs - Transp'!$E44+'Calcs - Transp'!$F44)*($J$9+$J$10-$J$11-$J$12))/((102*'Calcs - Transp'!$B44)*$J$13)))</f>
        <v>2.8000000000000014E-2</v>
      </c>
      <c r="D65" s="455">
        <f>'Methane Leakage'!$G$5*((($P$6+$P$7-$P$8)/$P$13)+((('Calcs - Transp'!$C44+'Calcs - Transp'!$D44+'Calcs - Transp'!$E44+'Calcs - Transp'!$F44)*($P$9+$P$10-$P$11-$P$12))/((102*'Calcs - Transp'!$B44)*$P$13)))</f>
        <v>2.8000000000000014E-2</v>
      </c>
    </row>
    <row r="66" spans="1:4" x14ac:dyDescent="0.3">
      <c r="A66" s="358">
        <f t="shared" si="4"/>
        <v>34</v>
      </c>
      <c r="B66" s="455">
        <f>'Methane Leakage'!$C$5*(($D$6+$D$7-$D$8-$D$9)/($D$16+$D$17)+((('Calcs - Power'!C45+'Calcs - Power'!D45+'Calcs - Power'!E45+'Calcs - Power'!F45)*($D$10+$D$11-$D$12-$D$13-$D$14-$D$15))/((102*'Calcs - Power'!B45)*($D$16+$D$17))))</f>
        <v>2.0000000000000018E-2</v>
      </c>
      <c r="C66" s="455">
        <f>'Methane Leakage'!$G$5*((($J$6+$J$7-$J$8)/$J$13)+((('Calcs - Transp'!$C45+'Calcs - Transp'!$D45+'Calcs - Transp'!$E45+'Calcs - Transp'!$F45)*($J$9+$J$10-$J$11-$J$12))/((102*'Calcs - Transp'!$B45)*$J$13)))</f>
        <v>2.8000000000000014E-2</v>
      </c>
      <c r="D66" s="455">
        <f>'Methane Leakage'!$G$5*((($P$6+$P$7-$P$8)/$P$13)+((('Calcs - Transp'!$C45+'Calcs - Transp'!$D45+'Calcs - Transp'!$E45+'Calcs - Transp'!$F45)*($P$9+$P$10-$P$11-$P$12))/((102*'Calcs - Transp'!$B45)*$P$13)))</f>
        <v>2.8000000000000014E-2</v>
      </c>
    </row>
    <row r="67" spans="1:4" x14ac:dyDescent="0.3">
      <c r="A67" s="358">
        <f t="shared" si="4"/>
        <v>35</v>
      </c>
      <c r="B67" s="455">
        <f>'Methane Leakage'!$C$5*(($D$6+$D$7-$D$8-$D$9)/($D$16+$D$17)+((('Calcs - Power'!C46+'Calcs - Power'!D46+'Calcs - Power'!E46+'Calcs - Power'!F46)*($D$10+$D$11-$D$12-$D$13-$D$14-$D$15))/((102*'Calcs - Power'!B46)*($D$16+$D$17))))</f>
        <v>2.0000000000000018E-2</v>
      </c>
      <c r="C67" s="455">
        <f>'Methane Leakage'!$G$5*((($J$6+$J$7-$J$8)/$J$13)+((('Calcs - Transp'!$C46+'Calcs - Transp'!$D46+'Calcs - Transp'!$E46+'Calcs - Transp'!$F46)*($J$9+$J$10-$J$11-$J$12))/((102*'Calcs - Transp'!$B46)*$J$13)))</f>
        <v>2.8000000000000014E-2</v>
      </c>
      <c r="D67" s="455">
        <f>'Methane Leakage'!$G$5*((($P$6+$P$7-$P$8)/$P$13)+((('Calcs - Transp'!$C46+'Calcs - Transp'!$D46+'Calcs - Transp'!$E46+'Calcs - Transp'!$F46)*($P$9+$P$10-$P$11-$P$12))/((102*'Calcs - Transp'!$B46)*$P$13)))</f>
        <v>2.8000000000000014E-2</v>
      </c>
    </row>
    <row r="68" spans="1:4" x14ac:dyDescent="0.3">
      <c r="A68" s="358">
        <f t="shared" si="4"/>
        <v>36</v>
      </c>
      <c r="B68" s="455">
        <f>'Methane Leakage'!$C$5*(($D$6+$D$7-$D$8-$D$9)/($D$16+$D$17)+((('Calcs - Power'!C47+'Calcs - Power'!D47+'Calcs - Power'!E47+'Calcs - Power'!F47)*($D$10+$D$11-$D$12-$D$13-$D$14-$D$15))/((102*'Calcs - Power'!B47)*($D$16+$D$17))))</f>
        <v>2.0000000000000018E-2</v>
      </c>
      <c r="C68" s="455">
        <f>'Methane Leakage'!$G$5*((($J$6+$J$7-$J$8)/$J$13)+((('Calcs - Transp'!$C47+'Calcs - Transp'!$D47+'Calcs - Transp'!$E47+'Calcs - Transp'!$F47)*($J$9+$J$10-$J$11-$J$12))/((102*'Calcs - Transp'!$B47)*$J$13)))</f>
        <v>2.8000000000000014E-2</v>
      </c>
      <c r="D68" s="455">
        <f>'Methane Leakage'!$G$5*((($P$6+$P$7-$P$8)/$P$13)+((('Calcs - Transp'!$C47+'Calcs - Transp'!$D47+'Calcs - Transp'!$E47+'Calcs - Transp'!$F47)*($P$9+$P$10-$P$11-$P$12))/((102*'Calcs - Transp'!$B47)*$P$13)))</f>
        <v>2.8000000000000014E-2</v>
      </c>
    </row>
    <row r="69" spans="1:4" x14ac:dyDescent="0.3">
      <c r="A69" s="358">
        <f t="shared" si="4"/>
        <v>37</v>
      </c>
      <c r="B69" s="455">
        <f>'Methane Leakage'!$C$5*(($D$6+$D$7-$D$8-$D$9)/($D$16+$D$17)+((('Calcs - Power'!C48+'Calcs - Power'!D48+'Calcs - Power'!E48+'Calcs - Power'!F48)*($D$10+$D$11-$D$12-$D$13-$D$14-$D$15))/((102*'Calcs - Power'!B48)*($D$16+$D$17))))</f>
        <v>2.0000000000000018E-2</v>
      </c>
      <c r="C69" s="455">
        <f>'Methane Leakage'!$G$5*((($J$6+$J$7-$J$8)/$J$13)+((('Calcs - Transp'!$C48+'Calcs - Transp'!$D48+'Calcs - Transp'!$E48+'Calcs - Transp'!$F48)*($J$9+$J$10-$J$11-$J$12))/((102*'Calcs - Transp'!$B48)*$J$13)))</f>
        <v>2.8000000000000014E-2</v>
      </c>
      <c r="D69" s="455">
        <f>'Methane Leakage'!$G$5*((($P$6+$P$7-$P$8)/$P$13)+((('Calcs - Transp'!$C48+'Calcs - Transp'!$D48+'Calcs - Transp'!$E48+'Calcs - Transp'!$F48)*($P$9+$P$10-$P$11-$P$12))/((102*'Calcs - Transp'!$B48)*$P$13)))</f>
        <v>2.8000000000000014E-2</v>
      </c>
    </row>
    <row r="70" spans="1:4" x14ac:dyDescent="0.3">
      <c r="A70" s="358">
        <f t="shared" si="4"/>
        <v>38</v>
      </c>
      <c r="B70" s="455">
        <f>'Methane Leakage'!$C$5*(($D$6+$D$7-$D$8-$D$9)/($D$16+$D$17)+((('Calcs - Power'!C49+'Calcs - Power'!D49+'Calcs - Power'!E49+'Calcs - Power'!F49)*($D$10+$D$11-$D$12-$D$13-$D$14-$D$15))/((102*'Calcs - Power'!B49)*($D$16+$D$17))))</f>
        <v>2.0000000000000018E-2</v>
      </c>
      <c r="C70" s="455">
        <f>'Methane Leakage'!$G$5*((($J$6+$J$7-$J$8)/$J$13)+((('Calcs - Transp'!$C49+'Calcs - Transp'!$D49+'Calcs - Transp'!$E49+'Calcs - Transp'!$F49)*($J$9+$J$10-$J$11-$J$12))/((102*'Calcs - Transp'!$B49)*$J$13)))</f>
        <v>2.8000000000000014E-2</v>
      </c>
      <c r="D70" s="455">
        <f>'Methane Leakage'!$G$5*((($P$6+$P$7-$P$8)/$P$13)+((('Calcs - Transp'!$C49+'Calcs - Transp'!$D49+'Calcs - Transp'!$E49+'Calcs - Transp'!$F49)*($P$9+$P$10-$P$11-$P$12))/((102*'Calcs - Transp'!$B49)*$P$13)))</f>
        <v>2.8000000000000014E-2</v>
      </c>
    </row>
    <row r="71" spans="1:4" x14ac:dyDescent="0.3">
      <c r="A71" s="358">
        <f t="shared" si="4"/>
        <v>39</v>
      </c>
      <c r="B71" s="455">
        <f>'Methane Leakage'!$C$5*(($D$6+$D$7-$D$8-$D$9)/($D$16+$D$17)+((('Calcs - Power'!C50+'Calcs - Power'!D50+'Calcs - Power'!E50+'Calcs - Power'!F50)*($D$10+$D$11-$D$12-$D$13-$D$14-$D$15))/((102*'Calcs - Power'!B50)*($D$16+$D$17))))</f>
        <v>2.0000000000000018E-2</v>
      </c>
      <c r="C71" s="455">
        <f>'Methane Leakage'!$G$5*((($J$6+$J$7-$J$8)/$J$13)+((('Calcs - Transp'!$C50+'Calcs - Transp'!$D50+'Calcs - Transp'!$E50+'Calcs - Transp'!$F50)*($J$9+$J$10-$J$11-$J$12))/((102*'Calcs - Transp'!$B50)*$J$13)))</f>
        <v>2.8000000000000014E-2</v>
      </c>
      <c r="D71" s="455">
        <f>'Methane Leakage'!$G$5*((($P$6+$P$7-$P$8)/$P$13)+((('Calcs - Transp'!$C50+'Calcs - Transp'!$D50+'Calcs - Transp'!$E50+'Calcs - Transp'!$F50)*($P$9+$P$10-$P$11-$P$12))/((102*'Calcs - Transp'!$B50)*$P$13)))</f>
        <v>2.8000000000000014E-2</v>
      </c>
    </row>
    <row r="72" spans="1:4" x14ac:dyDescent="0.3">
      <c r="A72" s="358">
        <f t="shared" si="4"/>
        <v>40</v>
      </c>
      <c r="B72" s="455">
        <f>'Methane Leakage'!$C$5*(($D$6+$D$7-$D$8-$D$9)/($D$16+$D$17)+((('Calcs - Power'!C51+'Calcs - Power'!D51+'Calcs - Power'!E51+'Calcs - Power'!F51)*($D$10+$D$11-$D$12-$D$13-$D$14-$D$15))/((102*'Calcs - Power'!B51)*($D$16+$D$17))))</f>
        <v>2.0000000000000018E-2</v>
      </c>
      <c r="C72" s="455">
        <f>'Methane Leakage'!$G$5*((($J$6+$J$7-$J$8)/$J$13)+((('Calcs - Transp'!$C51+'Calcs - Transp'!$D51+'Calcs - Transp'!$E51+'Calcs - Transp'!$F51)*($J$9+$J$10-$J$11-$J$12))/((102*'Calcs - Transp'!$B51)*$J$13)))</f>
        <v>2.8000000000000014E-2</v>
      </c>
      <c r="D72" s="455">
        <f>'Methane Leakage'!$G$5*((($P$6+$P$7-$P$8)/$P$13)+((('Calcs - Transp'!$C51+'Calcs - Transp'!$D51+'Calcs - Transp'!$E51+'Calcs - Transp'!$F51)*($P$9+$P$10-$P$11-$P$12))/((102*'Calcs - Transp'!$B51)*$P$13)))</f>
        <v>2.8000000000000014E-2</v>
      </c>
    </row>
    <row r="73" spans="1:4" x14ac:dyDescent="0.3">
      <c r="A73" s="358">
        <f t="shared" si="4"/>
        <v>41</v>
      </c>
      <c r="B73" s="455">
        <f>'Methane Leakage'!$C$5*(($D$6+$D$7-$D$8-$D$9)/($D$16+$D$17)+((('Calcs - Power'!C52+'Calcs - Power'!D52+'Calcs - Power'!E52+'Calcs - Power'!F52)*($D$10+$D$11-$D$12-$D$13-$D$14-$D$15))/((102*'Calcs - Power'!B52)*($D$16+$D$17))))</f>
        <v>2.0000000000000018E-2</v>
      </c>
      <c r="C73" s="455">
        <f>'Methane Leakage'!$G$5*((($J$6+$J$7-$J$8)/$J$13)+((('Calcs - Transp'!$C52+'Calcs - Transp'!$D52+'Calcs - Transp'!$E52+'Calcs - Transp'!$F52)*($J$9+$J$10-$J$11-$J$12))/((102*'Calcs - Transp'!$B52)*$J$13)))</f>
        <v>2.8000000000000014E-2</v>
      </c>
      <c r="D73" s="455">
        <f>'Methane Leakage'!$G$5*((($P$6+$P$7-$P$8)/$P$13)+((('Calcs - Transp'!$C52+'Calcs - Transp'!$D52+'Calcs - Transp'!$E52+'Calcs - Transp'!$F52)*($P$9+$P$10-$P$11-$P$12))/((102*'Calcs - Transp'!$B52)*$P$13)))</f>
        <v>2.8000000000000014E-2</v>
      </c>
    </row>
    <row r="74" spans="1:4" x14ac:dyDescent="0.3">
      <c r="A74" s="358">
        <f t="shared" si="4"/>
        <v>42</v>
      </c>
      <c r="B74" s="455">
        <f>'Methane Leakage'!$C$5*(($D$6+$D$7-$D$8-$D$9)/($D$16+$D$17)+((('Calcs - Power'!C53+'Calcs - Power'!D53+'Calcs - Power'!E53+'Calcs - Power'!F53)*($D$10+$D$11-$D$12-$D$13-$D$14-$D$15))/((102*'Calcs - Power'!B53)*($D$16+$D$17))))</f>
        <v>2.0000000000000018E-2</v>
      </c>
      <c r="C74" s="455">
        <f>'Methane Leakage'!$G$5*((($J$6+$J$7-$J$8)/$J$13)+((('Calcs - Transp'!$C53+'Calcs - Transp'!$D53+'Calcs - Transp'!$E53+'Calcs - Transp'!$F53)*($J$9+$J$10-$J$11-$J$12))/((102*'Calcs - Transp'!$B53)*$J$13)))</f>
        <v>2.8000000000000014E-2</v>
      </c>
      <c r="D74" s="455">
        <f>'Methane Leakage'!$G$5*((($P$6+$P$7-$P$8)/$P$13)+((('Calcs - Transp'!$C53+'Calcs - Transp'!$D53+'Calcs - Transp'!$E53+'Calcs - Transp'!$F53)*($P$9+$P$10-$P$11-$P$12))/((102*'Calcs - Transp'!$B53)*$P$13)))</f>
        <v>2.8000000000000014E-2</v>
      </c>
    </row>
    <row r="75" spans="1:4" x14ac:dyDescent="0.3">
      <c r="A75" s="358">
        <f t="shared" si="4"/>
        <v>43</v>
      </c>
      <c r="B75" s="455">
        <f>'Methane Leakage'!$C$5*(($D$6+$D$7-$D$8-$D$9)/($D$16+$D$17)+((('Calcs - Power'!C54+'Calcs - Power'!D54+'Calcs - Power'!E54+'Calcs - Power'!F54)*($D$10+$D$11-$D$12-$D$13-$D$14-$D$15))/((102*'Calcs - Power'!B54)*($D$16+$D$17))))</f>
        <v>2.0000000000000021E-2</v>
      </c>
      <c r="C75" s="455">
        <f>'Methane Leakage'!$G$5*((($J$6+$J$7-$J$8)/$J$13)+((('Calcs - Transp'!$C54+'Calcs - Transp'!$D54+'Calcs - Transp'!$E54+'Calcs - Transp'!$F54)*($J$9+$J$10-$J$11-$J$12))/((102*'Calcs - Transp'!$B54)*$J$13)))</f>
        <v>2.8000000000000014E-2</v>
      </c>
      <c r="D75" s="455">
        <f>'Methane Leakage'!$G$5*((($P$6+$P$7-$P$8)/$P$13)+((('Calcs - Transp'!$C54+'Calcs - Transp'!$D54+'Calcs - Transp'!$E54+'Calcs - Transp'!$F54)*($P$9+$P$10-$P$11-$P$12))/((102*'Calcs - Transp'!$B54)*$P$13)))</f>
        <v>2.8000000000000014E-2</v>
      </c>
    </row>
    <row r="76" spans="1:4" x14ac:dyDescent="0.3">
      <c r="A76" s="358">
        <f t="shared" si="4"/>
        <v>44</v>
      </c>
      <c r="B76" s="455">
        <f>'Methane Leakage'!$C$5*(($D$6+$D$7-$D$8-$D$9)/($D$16+$D$17)+((('Calcs - Power'!C55+'Calcs - Power'!D55+'Calcs - Power'!E55+'Calcs - Power'!F55)*($D$10+$D$11-$D$12-$D$13-$D$14-$D$15))/((102*'Calcs - Power'!B55)*($D$16+$D$17))))</f>
        <v>2.0000000000000021E-2</v>
      </c>
      <c r="C76" s="455">
        <f>'Methane Leakage'!$G$5*((($J$6+$J$7-$J$8)/$J$13)+((('Calcs - Transp'!$C55+'Calcs - Transp'!$D55+'Calcs - Transp'!$E55+'Calcs - Transp'!$F55)*($J$9+$J$10-$J$11-$J$12))/((102*'Calcs - Transp'!$B55)*$J$13)))</f>
        <v>2.8000000000000014E-2</v>
      </c>
      <c r="D76" s="455">
        <f>'Methane Leakage'!$G$5*((($P$6+$P$7-$P$8)/$P$13)+((('Calcs - Transp'!$C55+'Calcs - Transp'!$D55+'Calcs - Transp'!$E55+'Calcs - Transp'!$F55)*($P$9+$P$10-$P$11-$P$12))/((102*'Calcs - Transp'!$B55)*$P$13)))</f>
        <v>2.8000000000000014E-2</v>
      </c>
    </row>
    <row r="77" spans="1:4" x14ac:dyDescent="0.3">
      <c r="A77" s="358">
        <f t="shared" si="4"/>
        <v>45</v>
      </c>
      <c r="B77" s="455">
        <f>'Methane Leakage'!$C$5*(($D$6+$D$7-$D$8-$D$9)/($D$16+$D$17)+((('Calcs - Power'!C56+'Calcs - Power'!D56+'Calcs - Power'!E56+'Calcs - Power'!F56)*($D$10+$D$11-$D$12-$D$13-$D$14-$D$15))/((102*'Calcs - Power'!B56)*($D$16+$D$17))))</f>
        <v>2.0000000000000021E-2</v>
      </c>
      <c r="C77" s="455">
        <f>'Methane Leakage'!$G$5*((($J$6+$J$7-$J$8)/$J$13)+((('Calcs - Transp'!$C56+'Calcs - Transp'!$D56+'Calcs - Transp'!$E56+'Calcs - Transp'!$F56)*($J$9+$J$10-$J$11-$J$12))/((102*'Calcs - Transp'!$B56)*$J$13)))</f>
        <v>2.8000000000000014E-2</v>
      </c>
      <c r="D77" s="455">
        <f>'Methane Leakage'!$G$5*((($P$6+$P$7-$P$8)/$P$13)+((('Calcs - Transp'!$C56+'Calcs - Transp'!$D56+'Calcs - Transp'!$E56+'Calcs - Transp'!$F56)*($P$9+$P$10-$P$11-$P$12))/((102*'Calcs - Transp'!$B56)*$P$13)))</f>
        <v>2.8000000000000014E-2</v>
      </c>
    </row>
    <row r="78" spans="1:4" x14ac:dyDescent="0.3">
      <c r="A78" s="358">
        <f t="shared" si="4"/>
        <v>46</v>
      </c>
      <c r="B78" s="455">
        <f>'Methane Leakage'!$C$5*(($D$6+$D$7-$D$8-$D$9)/($D$16+$D$17)+((('Calcs - Power'!C57+'Calcs - Power'!D57+'Calcs - Power'!E57+'Calcs - Power'!F57)*($D$10+$D$11-$D$12-$D$13-$D$14-$D$15))/((102*'Calcs - Power'!B57)*($D$16+$D$17))))</f>
        <v>2.0000000000000021E-2</v>
      </c>
      <c r="C78" s="455">
        <f>'Methane Leakage'!$G$5*((($J$6+$J$7-$J$8)/$J$13)+((('Calcs - Transp'!$C57+'Calcs - Transp'!$D57+'Calcs - Transp'!$E57+'Calcs - Transp'!$F57)*($J$9+$J$10-$J$11-$J$12))/((102*'Calcs - Transp'!$B57)*$J$13)))</f>
        <v>2.8000000000000014E-2</v>
      </c>
      <c r="D78" s="455">
        <f>'Methane Leakage'!$G$5*((($P$6+$P$7-$P$8)/$P$13)+((('Calcs - Transp'!$C57+'Calcs - Transp'!$D57+'Calcs - Transp'!$E57+'Calcs - Transp'!$F57)*($P$9+$P$10-$P$11-$P$12))/((102*'Calcs - Transp'!$B57)*$P$13)))</f>
        <v>2.8000000000000014E-2</v>
      </c>
    </row>
    <row r="79" spans="1:4" x14ac:dyDescent="0.3">
      <c r="A79" s="358">
        <f t="shared" si="4"/>
        <v>47</v>
      </c>
      <c r="B79" s="455">
        <f>'Methane Leakage'!$C$5*(($D$6+$D$7-$D$8-$D$9)/($D$16+$D$17)+((('Calcs - Power'!C58+'Calcs - Power'!D58+'Calcs - Power'!E58+'Calcs - Power'!F58)*($D$10+$D$11-$D$12-$D$13-$D$14-$D$15))/((102*'Calcs - Power'!B58)*($D$16+$D$17))))</f>
        <v>2.0000000000000021E-2</v>
      </c>
      <c r="C79" s="455">
        <f>'Methane Leakage'!$G$5*((($J$6+$J$7-$J$8)/$J$13)+((('Calcs - Transp'!$C58+'Calcs - Transp'!$D58+'Calcs - Transp'!$E58+'Calcs - Transp'!$F58)*($J$9+$J$10-$J$11-$J$12))/((102*'Calcs - Transp'!$B58)*$J$13)))</f>
        <v>2.8000000000000014E-2</v>
      </c>
      <c r="D79" s="455">
        <f>'Methane Leakage'!$G$5*((($P$6+$P$7-$P$8)/$P$13)+((('Calcs - Transp'!$C58+'Calcs - Transp'!$D58+'Calcs - Transp'!$E58+'Calcs - Transp'!$F58)*($P$9+$P$10-$P$11-$P$12))/((102*'Calcs - Transp'!$B58)*$P$13)))</f>
        <v>2.8000000000000014E-2</v>
      </c>
    </row>
    <row r="80" spans="1:4" x14ac:dyDescent="0.3">
      <c r="A80" s="358">
        <f t="shared" si="4"/>
        <v>48</v>
      </c>
      <c r="B80" s="455">
        <f>'Methane Leakage'!$C$5*(($D$6+$D$7-$D$8-$D$9)/($D$16+$D$17)+((('Calcs - Power'!C59+'Calcs - Power'!D59+'Calcs - Power'!E59+'Calcs - Power'!F59)*($D$10+$D$11-$D$12-$D$13-$D$14-$D$15))/((102*'Calcs - Power'!B59)*($D$16+$D$17))))</f>
        <v>2.0000000000000021E-2</v>
      </c>
      <c r="C80" s="455">
        <f>'Methane Leakage'!$G$5*((($J$6+$J$7-$J$8)/$J$13)+((('Calcs - Transp'!$C59+'Calcs - Transp'!$D59+'Calcs - Transp'!$E59+'Calcs - Transp'!$F59)*($J$9+$J$10-$J$11-$J$12))/((102*'Calcs - Transp'!$B59)*$J$13)))</f>
        <v>2.8000000000000014E-2</v>
      </c>
      <c r="D80" s="455">
        <f>'Methane Leakage'!$G$5*((($P$6+$P$7-$P$8)/$P$13)+((('Calcs - Transp'!$C59+'Calcs - Transp'!$D59+'Calcs - Transp'!$E59+'Calcs - Transp'!$F59)*($P$9+$P$10-$P$11-$P$12))/((102*'Calcs - Transp'!$B59)*$P$13)))</f>
        <v>2.8000000000000014E-2</v>
      </c>
    </row>
    <row r="81" spans="1:4" x14ac:dyDescent="0.3">
      <c r="A81" s="358">
        <f t="shared" si="4"/>
        <v>49</v>
      </c>
      <c r="B81" s="455">
        <f>'Methane Leakage'!$C$5*(($D$6+$D$7-$D$8-$D$9)/($D$16+$D$17)+((('Calcs - Power'!C60+'Calcs - Power'!D60+'Calcs - Power'!E60+'Calcs - Power'!F60)*($D$10+$D$11-$D$12-$D$13-$D$14-$D$15))/((102*'Calcs - Power'!B60)*($D$16+$D$17))))</f>
        <v>2.0000000000000021E-2</v>
      </c>
      <c r="C81" s="455">
        <f>'Methane Leakage'!$G$5*((($J$6+$J$7-$J$8)/$J$13)+((('Calcs - Transp'!$C60+'Calcs - Transp'!$D60+'Calcs - Transp'!$E60+'Calcs - Transp'!$F60)*($J$9+$J$10-$J$11-$J$12))/((102*'Calcs - Transp'!$B60)*$J$13)))</f>
        <v>2.8000000000000014E-2</v>
      </c>
      <c r="D81" s="455">
        <f>'Methane Leakage'!$G$5*((($P$6+$P$7-$P$8)/$P$13)+((('Calcs - Transp'!$C60+'Calcs - Transp'!$D60+'Calcs - Transp'!$E60+'Calcs - Transp'!$F60)*($P$9+$P$10-$P$11-$P$12))/((102*'Calcs - Transp'!$B60)*$P$13)))</f>
        <v>2.8000000000000014E-2</v>
      </c>
    </row>
    <row r="82" spans="1:4" x14ac:dyDescent="0.3">
      <c r="A82" s="358">
        <f t="shared" si="4"/>
        <v>50</v>
      </c>
      <c r="B82" s="455">
        <f>'Methane Leakage'!$C$5*(($D$6+$D$7-$D$8-$D$9)/($D$16+$D$17)+((('Calcs - Power'!C61+'Calcs - Power'!D61+'Calcs - Power'!E61+'Calcs - Power'!F61)*($D$10+$D$11-$D$12-$D$13-$D$14-$D$15))/((102*'Calcs - Power'!B61)*($D$16+$D$17))))</f>
        <v>2.0000000000000021E-2</v>
      </c>
      <c r="C82" s="455">
        <f>'Methane Leakage'!$G$5*((($J$6+$J$7-$J$8)/$J$13)+((('Calcs - Transp'!$C61+'Calcs - Transp'!$D61+'Calcs - Transp'!$E61+'Calcs - Transp'!$F61)*($J$9+$J$10-$J$11-$J$12))/((102*'Calcs - Transp'!$B61)*$J$13)))</f>
        <v>2.8000000000000014E-2</v>
      </c>
      <c r="D82" s="455">
        <f>'Methane Leakage'!$G$5*((($P$6+$P$7-$P$8)/$P$13)+((('Calcs - Transp'!$C61+'Calcs - Transp'!$D61+'Calcs - Transp'!$E61+'Calcs - Transp'!$F61)*($P$9+$P$10-$P$11-$P$12))/((102*'Calcs - Transp'!$B61)*$P$13)))</f>
        <v>2.8000000000000014E-2</v>
      </c>
    </row>
    <row r="83" spans="1:4" x14ac:dyDescent="0.3">
      <c r="A83" s="358">
        <f t="shared" si="4"/>
        <v>51</v>
      </c>
      <c r="B83" s="455">
        <f>'Methane Leakage'!$C$5*(($D$6+$D$7-$D$8-$D$9)/($D$16+$D$17)+((('Calcs - Power'!C62+'Calcs - Power'!D62+'Calcs - Power'!E62+'Calcs - Power'!F62)*($D$10+$D$11-$D$12-$D$13-$D$14-$D$15))/((102*'Calcs - Power'!B62)*($D$16+$D$17))))</f>
        <v>2.0000000000000021E-2</v>
      </c>
      <c r="C83" s="455">
        <f>'Methane Leakage'!$G$5*((($J$6+$J$7-$J$8)/$J$13)+((('Calcs - Transp'!$C62+'Calcs - Transp'!$D62+'Calcs - Transp'!$E62+'Calcs - Transp'!$F62)*($J$9+$J$10-$J$11-$J$12))/((102*'Calcs - Transp'!$B62)*$J$13)))</f>
        <v>2.8000000000000014E-2</v>
      </c>
      <c r="D83" s="455">
        <f>'Methane Leakage'!$G$5*((($P$6+$P$7-$P$8)/$P$13)+((('Calcs - Transp'!$C62+'Calcs - Transp'!$D62+'Calcs - Transp'!$E62+'Calcs - Transp'!$F62)*($P$9+$P$10-$P$11-$P$12))/((102*'Calcs - Transp'!$B62)*$P$13)))</f>
        <v>2.8000000000000014E-2</v>
      </c>
    </row>
    <row r="84" spans="1:4" x14ac:dyDescent="0.3">
      <c r="A84" s="358">
        <f t="shared" si="4"/>
        <v>52</v>
      </c>
      <c r="B84" s="455">
        <f>'Methane Leakage'!$C$5*(($D$6+$D$7-$D$8-$D$9)/($D$16+$D$17)+((('Calcs - Power'!C63+'Calcs - Power'!D63+'Calcs - Power'!E63+'Calcs - Power'!F63)*($D$10+$D$11-$D$12-$D$13-$D$14-$D$15))/((102*'Calcs - Power'!B63)*($D$16+$D$17))))</f>
        <v>2.0000000000000021E-2</v>
      </c>
      <c r="C84" s="455">
        <f>'Methane Leakage'!$G$5*((($J$6+$J$7-$J$8)/$J$13)+((('Calcs - Transp'!$C63+'Calcs - Transp'!$D63+'Calcs - Transp'!$E63+'Calcs - Transp'!$F63)*($J$9+$J$10-$J$11-$J$12))/((102*'Calcs - Transp'!$B63)*$J$13)))</f>
        <v>2.8000000000000014E-2</v>
      </c>
      <c r="D84" s="455">
        <f>'Methane Leakage'!$G$5*((($P$6+$P$7-$P$8)/$P$13)+((('Calcs - Transp'!$C63+'Calcs - Transp'!$D63+'Calcs - Transp'!$E63+'Calcs - Transp'!$F63)*($P$9+$P$10-$P$11-$P$12))/((102*'Calcs - Transp'!$B63)*$P$13)))</f>
        <v>2.8000000000000014E-2</v>
      </c>
    </row>
    <row r="85" spans="1:4" x14ac:dyDescent="0.3">
      <c r="A85" s="358">
        <f t="shared" si="4"/>
        <v>53</v>
      </c>
      <c r="B85" s="455">
        <f>'Methane Leakage'!$C$5*(($D$6+$D$7-$D$8-$D$9)/($D$16+$D$17)+((('Calcs - Power'!C64+'Calcs - Power'!D64+'Calcs - Power'!E64+'Calcs - Power'!F64)*($D$10+$D$11-$D$12-$D$13-$D$14-$D$15))/((102*'Calcs - Power'!B64)*($D$16+$D$17))))</f>
        <v>2.0000000000000021E-2</v>
      </c>
      <c r="C85" s="455">
        <f>'Methane Leakage'!$G$5*((($J$6+$J$7-$J$8)/$J$13)+((('Calcs - Transp'!$C64+'Calcs - Transp'!$D64+'Calcs - Transp'!$E64+'Calcs - Transp'!$F64)*($J$9+$J$10-$J$11-$J$12))/((102*'Calcs - Transp'!$B64)*$J$13)))</f>
        <v>2.8000000000000014E-2</v>
      </c>
      <c r="D85" s="455">
        <f>'Methane Leakage'!$G$5*((($P$6+$P$7-$P$8)/$P$13)+((('Calcs - Transp'!$C64+'Calcs - Transp'!$D64+'Calcs - Transp'!$E64+'Calcs - Transp'!$F64)*($P$9+$P$10-$P$11-$P$12))/((102*'Calcs - Transp'!$B64)*$P$13)))</f>
        <v>2.8000000000000014E-2</v>
      </c>
    </row>
    <row r="86" spans="1:4" x14ac:dyDescent="0.3">
      <c r="A86" s="358">
        <f t="shared" si="4"/>
        <v>54</v>
      </c>
      <c r="B86" s="455">
        <f>'Methane Leakage'!$C$5*(($D$6+$D$7-$D$8-$D$9)/($D$16+$D$17)+((('Calcs - Power'!C65+'Calcs - Power'!D65+'Calcs - Power'!E65+'Calcs - Power'!F65)*($D$10+$D$11-$D$12-$D$13-$D$14-$D$15))/((102*'Calcs - Power'!B65)*($D$16+$D$17))))</f>
        <v>2.0000000000000021E-2</v>
      </c>
      <c r="C86" s="455">
        <f>'Methane Leakage'!$G$5*((($J$6+$J$7-$J$8)/$J$13)+((('Calcs - Transp'!$C65+'Calcs - Transp'!$D65+'Calcs - Transp'!$E65+'Calcs - Transp'!$F65)*($J$9+$J$10-$J$11-$J$12))/((102*'Calcs - Transp'!$B65)*$J$13)))</f>
        <v>2.8000000000000014E-2</v>
      </c>
      <c r="D86" s="455">
        <f>'Methane Leakage'!$G$5*((($P$6+$P$7-$P$8)/$P$13)+((('Calcs - Transp'!$C65+'Calcs - Transp'!$D65+'Calcs - Transp'!$E65+'Calcs - Transp'!$F65)*($P$9+$P$10-$P$11-$P$12))/((102*'Calcs - Transp'!$B65)*$P$13)))</f>
        <v>2.8000000000000014E-2</v>
      </c>
    </row>
    <row r="87" spans="1:4" x14ac:dyDescent="0.3">
      <c r="A87" s="358">
        <f t="shared" si="4"/>
        <v>55</v>
      </c>
      <c r="B87" s="455">
        <f>'Methane Leakage'!$C$5*(($D$6+$D$7-$D$8-$D$9)/($D$16+$D$17)+((('Calcs - Power'!C66+'Calcs - Power'!D66+'Calcs - Power'!E66+'Calcs - Power'!F66)*($D$10+$D$11-$D$12-$D$13-$D$14-$D$15))/((102*'Calcs - Power'!B66)*($D$16+$D$17))))</f>
        <v>2.0000000000000021E-2</v>
      </c>
      <c r="C87" s="455">
        <f>'Methane Leakage'!$G$5*((($J$6+$J$7-$J$8)/$J$13)+((('Calcs - Transp'!$C66+'Calcs - Transp'!$D66+'Calcs - Transp'!$E66+'Calcs - Transp'!$F66)*($J$9+$J$10-$J$11-$J$12))/((102*'Calcs - Transp'!$B66)*$J$13)))</f>
        <v>2.8000000000000014E-2</v>
      </c>
      <c r="D87" s="455">
        <f>'Methane Leakage'!$G$5*((($P$6+$P$7-$P$8)/$P$13)+((('Calcs - Transp'!$C66+'Calcs - Transp'!$D66+'Calcs - Transp'!$E66+'Calcs - Transp'!$F66)*($P$9+$P$10-$P$11-$P$12))/((102*'Calcs - Transp'!$B66)*$P$13)))</f>
        <v>2.8000000000000014E-2</v>
      </c>
    </row>
    <row r="88" spans="1:4" x14ac:dyDescent="0.3">
      <c r="A88" s="358">
        <f t="shared" si="4"/>
        <v>56</v>
      </c>
      <c r="B88" s="455">
        <f>'Methane Leakage'!$C$5*(($D$6+$D$7-$D$8-$D$9)/($D$16+$D$17)+((('Calcs - Power'!C67+'Calcs - Power'!D67+'Calcs - Power'!E67+'Calcs - Power'!F67)*($D$10+$D$11-$D$12-$D$13-$D$14-$D$15))/((102*'Calcs - Power'!B67)*($D$16+$D$17))))</f>
        <v>2.0000000000000021E-2</v>
      </c>
      <c r="C88" s="455">
        <f>'Methane Leakage'!$G$5*((($J$6+$J$7-$J$8)/$J$13)+((('Calcs - Transp'!$C67+'Calcs - Transp'!$D67+'Calcs - Transp'!$E67+'Calcs - Transp'!$F67)*($J$9+$J$10-$J$11-$J$12))/((102*'Calcs - Transp'!$B67)*$J$13)))</f>
        <v>2.8000000000000014E-2</v>
      </c>
      <c r="D88" s="455">
        <f>'Methane Leakage'!$G$5*((($P$6+$P$7-$P$8)/$P$13)+((('Calcs - Transp'!$C67+'Calcs - Transp'!$D67+'Calcs - Transp'!$E67+'Calcs - Transp'!$F67)*($P$9+$P$10-$P$11-$P$12))/((102*'Calcs - Transp'!$B67)*$P$13)))</f>
        <v>2.8000000000000014E-2</v>
      </c>
    </row>
    <row r="89" spans="1:4" x14ac:dyDescent="0.3">
      <c r="A89" s="358">
        <f t="shared" si="4"/>
        <v>57</v>
      </c>
      <c r="B89" s="455">
        <f>'Methane Leakage'!$C$5*(($D$6+$D$7-$D$8-$D$9)/($D$16+$D$17)+((('Calcs - Power'!C68+'Calcs - Power'!D68+'Calcs - Power'!E68+'Calcs - Power'!F68)*($D$10+$D$11-$D$12-$D$13-$D$14-$D$15))/((102*'Calcs - Power'!B68)*($D$16+$D$17))))</f>
        <v>2.0000000000000021E-2</v>
      </c>
      <c r="C89" s="455">
        <f>'Methane Leakage'!$G$5*((($J$6+$J$7-$J$8)/$J$13)+((('Calcs - Transp'!$C68+'Calcs - Transp'!$D68+'Calcs - Transp'!$E68+'Calcs - Transp'!$F68)*($J$9+$J$10-$J$11-$J$12))/((102*'Calcs - Transp'!$B68)*$J$13)))</f>
        <v>2.8000000000000014E-2</v>
      </c>
      <c r="D89" s="455">
        <f>'Methane Leakage'!$G$5*((($P$6+$P$7-$P$8)/$P$13)+((('Calcs - Transp'!$C68+'Calcs - Transp'!$D68+'Calcs - Transp'!$E68+'Calcs - Transp'!$F68)*($P$9+$P$10-$P$11-$P$12))/((102*'Calcs - Transp'!$B68)*$P$13)))</f>
        <v>2.8000000000000014E-2</v>
      </c>
    </row>
    <row r="90" spans="1:4" x14ac:dyDescent="0.3">
      <c r="A90" s="358">
        <f t="shared" si="4"/>
        <v>58</v>
      </c>
      <c r="B90" s="455">
        <f>'Methane Leakage'!$C$5*(($D$6+$D$7-$D$8-$D$9)/($D$16+$D$17)+((('Calcs - Power'!C69+'Calcs - Power'!D69+'Calcs - Power'!E69+'Calcs - Power'!F69)*($D$10+$D$11-$D$12-$D$13-$D$14-$D$15))/((102*'Calcs - Power'!B69)*($D$16+$D$17))))</f>
        <v>2.0000000000000021E-2</v>
      </c>
      <c r="C90" s="455">
        <f>'Methane Leakage'!$G$5*((($J$6+$J$7-$J$8)/$J$13)+((('Calcs - Transp'!$C69+'Calcs - Transp'!$D69+'Calcs - Transp'!$E69+'Calcs - Transp'!$F69)*($J$9+$J$10-$J$11-$J$12))/((102*'Calcs - Transp'!$B69)*$J$13)))</f>
        <v>2.8000000000000014E-2</v>
      </c>
      <c r="D90" s="455">
        <f>'Methane Leakage'!$G$5*((($P$6+$P$7-$P$8)/$P$13)+((('Calcs - Transp'!$C69+'Calcs - Transp'!$D69+'Calcs - Transp'!$E69+'Calcs - Transp'!$F69)*($P$9+$P$10-$P$11-$P$12))/((102*'Calcs - Transp'!$B69)*$P$13)))</f>
        <v>2.8000000000000014E-2</v>
      </c>
    </row>
    <row r="91" spans="1:4" x14ac:dyDescent="0.3">
      <c r="A91" s="358">
        <f t="shared" si="4"/>
        <v>59</v>
      </c>
      <c r="B91" s="455">
        <f>'Methane Leakage'!$C$5*(($D$6+$D$7-$D$8-$D$9)/($D$16+$D$17)+((('Calcs - Power'!C70+'Calcs - Power'!D70+'Calcs - Power'!E70+'Calcs - Power'!F70)*($D$10+$D$11-$D$12-$D$13-$D$14-$D$15))/((102*'Calcs - Power'!B70)*($D$16+$D$17))))</f>
        <v>2.0000000000000021E-2</v>
      </c>
      <c r="C91" s="455">
        <f>'Methane Leakage'!$G$5*((($J$6+$J$7-$J$8)/$J$13)+((('Calcs - Transp'!$C70+'Calcs - Transp'!$D70+'Calcs - Transp'!$E70+'Calcs - Transp'!$F70)*($J$9+$J$10-$J$11-$J$12))/((102*'Calcs - Transp'!$B70)*$J$13)))</f>
        <v>2.8000000000000014E-2</v>
      </c>
      <c r="D91" s="455">
        <f>'Methane Leakage'!$G$5*((($P$6+$P$7-$P$8)/$P$13)+((('Calcs - Transp'!$C70+'Calcs - Transp'!$D70+'Calcs - Transp'!$E70+'Calcs - Transp'!$F70)*($P$9+$P$10-$P$11-$P$12))/((102*'Calcs - Transp'!$B70)*$P$13)))</f>
        <v>2.8000000000000014E-2</v>
      </c>
    </row>
    <row r="92" spans="1:4" x14ac:dyDescent="0.3">
      <c r="A92" s="358">
        <f t="shared" si="4"/>
        <v>60</v>
      </c>
      <c r="B92" s="455">
        <f>'Methane Leakage'!$C$5*(($D$6+$D$7-$D$8-$D$9)/($D$16+$D$17)+((('Calcs - Power'!C71+'Calcs - Power'!D71+'Calcs - Power'!E71+'Calcs - Power'!F71)*($D$10+$D$11-$D$12-$D$13-$D$14-$D$15))/((102*'Calcs - Power'!B71)*($D$16+$D$17))))</f>
        <v>2.0000000000000021E-2</v>
      </c>
      <c r="C92" s="455">
        <f>'Methane Leakage'!$G$5*((($J$6+$J$7-$J$8)/$J$13)+((('Calcs - Transp'!$C71+'Calcs - Transp'!$D71+'Calcs - Transp'!$E71+'Calcs - Transp'!$F71)*($J$9+$J$10-$J$11-$J$12))/((102*'Calcs - Transp'!$B71)*$J$13)))</f>
        <v>2.8000000000000014E-2</v>
      </c>
      <c r="D92" s="455">
        <f>'Methane Leakage'!$G$5*((($P$6+$P$7-$P$8)/$P$13)+((('Calcs - Transp'!$C71+'Calcs - Transp'!$D71+'Calcs - Transp'!$E71+'Calcs - Transp'!$F71)*($P$9+$P$10-$P$11-$P$12))/((102*'Calcs - Transp'!$B71)*$P$13)))</f>
        <v>2.8000000000000014E-2</v>
      </c>
    </row>
    <row r="93" spans="1:4" x14ac:dyDescent="0.3">
      <c r="A93" s="358">
        <f t="shared" si="4"/>
        <v>61</v>
      </c>
      <c r="B93" s="455">
        <f>'Methane Leakage'!$C$5*(($D$6+$D$7-$D$8-$D$9)/($D$16+$D$17)+((('Calcs - Power'!C72+'Calcs - Power'!D72+'Calcs - Power'!E72+'Calcs - Power'!F72)*($D$10+$D$11-$D$12-$D$13-$D$14-$D$15))/((102*'Calcs - Power'!B72)*($D$16+$D$17))))</f>
        <v>2.0000000000000028E-2</v>
      </c>
      <c r="C93" s="455">
        <f>'Methane Leakage'!$G$5*((($J$6+$J$7-$J$8)/$J$13)+((('Calcs - Transp'!$C72+'Calcs - Transp'!$D72+'Calcs - Transp'!$E72+'Calcs - Transp'!$F72)*($J$9+$J$10-$J$11-$J$12))/((102*'Calcs - Transp'!$B72)*$J$13)))</f>
        <v>2.8000000000000014E-2</v>
      </c>
      <c r="D93" s="455">
        <f>'Methane Leakage'!$G$5*((($P$6+$P$7-$P$8)/$P$13)+((('Calcs - Transp'!$C72+'Calcs - Transp'!$D72+'Calcs - Transp'!$E72+'Calcs - Transp'!$F72)*($P$9+$P$10-$P$11-$P$12))/((102*'Calcs - Transp'!$B72)*$P$13)))</f>
        <v>2.8000000000000014E-2</v>
      </c>
    </row>
    <row r="94" spans="1:4" x14ac:dyDescent="0.3">
      <c r="A94" s="358">
        <f t="shared" si="4"/>
        <v>62</v>
      </c>
      <c r="B94" s="455">
        <f>'Methane Leakage'!$C$5*(($D$6+$D$7-$D$8-$D$9)/($D$16+$D$17)+((('Calcs - Power'!C73+'Calcs - Power'!D73+'Calcs - Power'!E73+'Calcs - Power'!F73)*($D$10+$D$11-$D$12-$D$13-$D$14-$D$15))/((102*'Calcs - Power'!B73)*($D$16+$D$17))))</f>
        <v>2.0000000000000028E-2</v>
      </c>
      <c r="C94" s="455">
        <f>'Methane Leakage'!$G$5*((($J$6+$J$7-$J$8)/$J$13)+((('Calcs - Transp'!$C73+'Calcs - Transp'!$D73+'Calcs - Transp'!$E73+'Calcs - Transp'!$F73)*($J$9+$J$10-$J$11-$J$12))/((102*'Calcs - Transp'!$B73)*$J$13)))</f>
        <v>2.8000000000000014E-2</v>
      </c>
      <c r="D94" s="455">
        <f>'Methane Leakage'!$G$5*((($P$6+$P$7-$P$8)/$P$13)+((('Calcs - Transp'!$C73+'Calcs - Transp'!$D73+'Calcs - Transp'!$E73+'Calcs - Transp'!$F73)*($P$9+$P$10-$P$11-$P$12))/((102*'Calcs - Transp'!$B73)*$P$13)))</f>
        <v>2.8000000000000014E-2</v>
      </c>
    </row>
    <row r="95" spans="1:4" x14ac:dyDescent="0.3">
      <c r="A95" s="358">
        <f t="shared" si="4"/>
        <v>63</v>
      </c>
      <c r="B95" s="455">
        <f>'Methane Leakage'!$C$5*(($D$6+$D$7-$D$8-$D$9)/($D$16+$D$17)+((('Calcs - Power'!C74+'Calcs - Power'!D74+'Calcs - Power'!E74+'Calcs - Power'!F74)*($D$10+$D$11-$D$12-$D$13-$D$14-$D$15))/((102*'Calcs - Power'!B74)*($D$16+$D$17))))</f>
        <v>2.0000000000000028E-2</v>
      </c>
      <c r="C95" s="455">
        <f>'Methane Leakage'!$G$5*((($J$6+$J$7-$J$8)/$J$13)+((('Calcs - Transp'!$C74+'Calcs - Transp'!$D74+'Calcs - Transp'!$E74+'Calcs - Transp'!$F74)*($J$9+$J$10-$J$11-$J$12))/((102*'Calcs - Transp'!$B74)*$J$13)))</f>
        <v>2.8000000000000014E-2</v>
      </c>
      <c r="D95" s="455">
        <f>'Methane Leakage'!$G$5*((($P$6+$P$7-$P$8)/$P$13)+((('Calcs - Transp'!$C74+'Calcs - Transp'!$D74+'Calcs - Transp'!$E74+'Calcs - Transp'!$F74)*($P$9+$P$10-$P$11-$P$12))/((102*'Calcs - Transp'!$B74)*$P$13)))</f>
        <v>2.8000000000000014E-2</v>
      </c>
    </row>
    <row r="96" spans="1:4" x14ac:dyDescent="0.3">
      <c r="A96" s="358">
        <f t="shared" si="4"/>
        <v>64</v>
      </c>
      <c r="B96" s="455">
        <f>'Methane Leakage'!$C$5*(($D$6+$D$7-$D$8-$D$9)/($D$16+$D$17)+((('Calcs - Power'!C75+'Calcs - Power'!D75+'Calcs - Power'!E75+'Calcs - Power'!F75)*($D$10+$D$11-$D$12-$D$13-$D$14-$D$15))/((102*'Calcs - Power'!B75)*($D$16+$D$17))))</f>
        <v>2.0000000000000028E-2</v>
      </c>
      <c r="C96" s="455">
        <f>'Methane Leakage'!$G$5*((($J$6+$J$7-$J$8)/$J$13)+((('Calcs - Transp'!$C75+'Calcs - Transp'!$D75+'Calcs - Transp'!$E75+'Calcs - Transp'!$F75)*($J$9+$J$10-$J$11-$J$12))/((102*'Calcs - Transp'!$B75)*$J$13)))</f>
        <v>2.8000000000000014E-2</v>
      </c>
      <c r="D96" s="455">
        <f>'Methane Leakage'!$G$5*((($P$6+$P$7-$P$8)/$P$13)+((('Calcs - Transp'!$C75+'Calcs - Transp'!$D75+'Calcs - Transp'!$E75+'Calcs - Transp'!$F75)*($P$9+$P$10-$P$11-$P$12))/((102*'Calcs - Transp'!$B75)*$P$13)))</f>
        <v>2.8000000000000014E-2</v>
      </c>
    </row>
    <row r="97" spans="1:4" x14ac:dyDescent="0.3">
      <c r="A97" s="358">
        <f t="shared" si="4"/>
        <v>65</v>
      </c>
      <c r="B97" s="455">
        <f>'Methane Leakage'!$C$5*(($D$6+$D$7-$D$8-$D$9)/($D$16+$D$17)+((('Calcs - Power'!C76+'Calcs - Power'!D76+'Calcs - Power'!E76+'Calcs - Power'!F76)*($D$10+$D$11-$D$12-$D$13-$D$14-$D$15))/((102*'Calcs - Power'!B76)*($D$16+$D$17))))</f>
        <v>2.0000000000000028E-2</v>
      </c>
      <c r="C97" s="455">
        <f>'Methane Leakage'!$G$5*((($J$6+$J$7-$J$8)/$J$13)+((('Calcs - Transp'!$C76+'Calcs - Transp'!$D76+'Calcs - Transp'!$E76+'Calcs - Transp'!$F76)*($J$9+$J$10-$J$11-$J$12))/((102*'Calcs - Transp'!$B76)*$J$13)))</f>
        <v>2.8000000000000014E-2</v>
      </c>
      <c r="D97" s="455">
        <f>'Methane Leakage'!$G$5*((($P$6+$P$7-$P$8)/$P$13)+((('Calcs - Transp'!$C76+'Calcs - Transp'!$D76+'Calcs - Transp'!$E76+'Calcs - Transp'!$F76)*($P$9+$P$10-$P$11-$P$12))/((102*'Calcs - Transp'!$B76)*$P$13)))</f>
        <v>2.8000000000000014E-2</v>
      </c>
    </row>
    <row r="98" spans="1:4" x14ac:dyDescent="0.3">
      <c r="A98" s="358">
        <f t="shared" si="4"/>
        <v>66</v>
      </c>
      <c r="B98" s="455">
        <f>'Methane Leakage'!$C$5*(($D$6+$D$7-$D$8-$D$9)/($D$16+$D$17)+((('Calcs - Power'!C77+'Calcs - Power'!D77+'Calcs - Power'!E77+'Calcs - Power'!F77)*($D$10+$D$11-$D$12-$D$13-$D$14-$D$15))/((102*'Calcs - Power'!B77)*($D$16+$D$17))))</f>
        <v>2.0000000000000028E-2</v>
      </c>
      <c r="C98" s="455">
        <f>'Methane Leakage'!$G$5*((($J$6+$J$7-$J$8)/$J$13)+((('Calcs - Transp'!$C77+'Calcs - Transp'!$D77+'Calcs - Transp'!$E77+'Calcs - Transp'!$F77)*($J$9+$J$10-$J$11-$J$12))/((102*'Calcs - Transp'!$B77)*$J$13)))</f>
        <v>2.8000000000000014E-2</v>
      </c>
      <c r="D98" s="455">
        <f>'Methane Leakage'!$G$5*((($P$6+$P$7-$P$8)/$P$13)+((('Calcs - Transp'!$C77+'Calcs - Transp'!$D77+'Calcs - Transp'!$E77+'Calcs - Transp'!$F77)*($P$9+$P$10-$P$11-$P$12))/((102*'Calcs - Transp'!$B77)*$P$13)))</f>
        <v>2.8000000000000014E-2</v>
      </c>
    </row>
    <row r="99" spans="1:4" x14ac:dyDescent="0.3">
      <c r="A99" s="358">
        <f t="shared" ref="A99:A162" si="5">A98+1</f>
        <v>67</v>
      </c>
      <c r="B99" s="455">
        <f>'Methane Leakage'!$C$5*(($D$6+$D$7-$D$8-$D$9)/($D$16+$D$17)+((('Calcs - Power'!C78+'Calcs - Power'!D78+'Calcs - Power'!E78+'Calcs - Power'!F78)*($D$10+$D$11-$D$12-$D$13-$D$14-$D$15))/((102*'Calcs - Power'!B78)*($D$16+$D$17))))</f>
        <v>2.0000000000000028E-2</v>
      </c>
      <c r="C99" s="455">
        <f>'Methane Leakage'!$G$5*((($J$6+$J$7-$J$8)/$J$13)+((('Calcs - Transp'!$C78+'Calcs - Transp'!$D78+'Calcs - Transp'!$E78+'Calcs - Transp'!$F78)*($J$9+$J$10-$J$11-$J$12))/((102*'Calcs - Transp'!$B78)*$J$13)))</f>
        <v>2.8000000000000014E-2</v>
      </c>
      <c r="D99" s="455">
        <f>'Methane Leakage'!$G$5*((($P$6+$P$7-$P$8)/$P$13)+((('Calcs - Transp'!$C78+'Calcs - Transp'!$D78+'Calcs - Transp'!$E78+'Calcs - Transp'!$F78)*($P$9+$P$10-$P$11-$P$12))/((102*'Calcs - Transp'!$B78)*$P$13)))</f>
        <v>2.8000000000000014E-2</v>
      </c>
    </row>
    <row r="100" spans="1:4" x14ac:dyDescent="0.3">
      <c r="A100" s="358">
        <f t="shared" si="5"/>
        <v>68</v>
      </c>
      <c r="B100" s="455">
        <f>'Methane Leakage'!$C$5*(($D$6+$D$7-$D$8-$D$9)/($D$16+$D$17)+((('Calcs - Power'!C79+'Calcs - Power'!D79+'Calcs - Power'!E79+'Calcs - Power'!F79)*($D$10+$D$11-$D$12-$D$13-$D$14-$D$15))/((102*'Calcs - Power'!B79)*($D$16+$D$17))))</f>
        <v>2.0000000000000028E-2</v>
      </c>
      <c r="C100" s="455">
        <f>'Methane Leakage'!$G$5*((($J$6+$J$7-$J$8)/$J$13)+((('Calcs - Transp'!$C79+'Calcs - Transp'!$D79+'Calcs - Transp'!$E79+'Calcs - Transp'!$F79)*($J$9+$J$10-$J$11-$J$12))/((102*'Calcs - Transp'!$B79)*$J$13)))</f>
        <v>2.8000000000000014E-2</v>
      </c>
      <c r="D100" s="455">
        <f>'Methane Leakage'!$G$5*((($P$6+$P$7-$P$8)/$P$13)+((('Calcs - Transp'!$C79+'Calcs - Transp'!$D79+'Calcs - Transp'!$E79+'Calcs - Transp'!$F79)*($P$9+$P$10-$P$11-$P$12))/((102*'Calcs - Transp'!$B79)*$P$13)))</f>
        <v>2.8000000000000014E-2</v>
      </c>
    </row>
    <row r="101" spans="1:4" x14ac:dyDescent="0.3">
      <c r="A101" s="358">
        <f t="shared" si="5"/>
        <v>69</v>
      </c>
      <c r="B101" s="455">
        <f>'Methane Leakage'!$C$5*(($D$6+$D$7-$D$8-$D$9)/($D$16+$D$17)+((('Calcs - Power'!C80+'Calcs - Power'!D80+'Calcs - Power'!E80+'Calcs - Power'!F80)*($D$10+$D$11-$D$12-$D$13-$D$14-$D$15))/((102*'Calcs - Power'!B80)*($D$16+$D$17))))</f>
        <v>2.0000000000000028E-2</v>
      </c>
      <c r="C101" s="455">
        <f>'Methane Leakage'!$G$5*((($J$6+$J$7-$J$8)/$J$13)+((('Calcs - Transp'!$C80+'Calcs - Transp'!$D80+'Calcs - Transp'!$E80+'Calcs - Transp'!$F80)*($J$9+$J$10-$J$11-$J$12))/((102*'Calcs - Transp'!$B80)*$J$13)))</f>
        <v>2.8000000000000014E-2</v>
      </c>
      <c r="D101" s="455">
        <f>'Methane Leakage'!$G$5*((($P$6+$P$7-$P$8)/$P$13)+((('Calcs - Transp'!$C80+'Calcs - Transp'!$D80+'Calcs - Transp'!$E80+'Calcs - Transp'!$F80)*($P$9+$P$10-$P$11-$P$12))/((102*'Calcs - Transp'!$B80)*$P$13)))</f>
        <v>2.8000000000000014E-2</v>
      </c>
    </row>
    <row r="102" spans="1:4" x14ac:dyDescent="0.3">
      <c r="A102" s="358">
        <f t="shared" si="5"/>
        <v>70</v>
      </c>
      <c r="B102" s="455">
        <f>'Methane Leakage'!$C$5*(($D$6+$D$7-$D$8-$D$9)/($D$16+$D$17)+((('Calcs - Power'!C81+'Calcs - Power'!D81+'Calcs - Power'!E81+'Calcs - Power'!F81)*($D$10+$D$11-$D$12-$D$13-$D$14-$D$15))/((102*'Calcs - Power'!B81)*($D$16+$D$17))))</f>
        <v>2.0000000000000028E-2</v>
      </c>
      <c r="C102" s="455">
        <f>'Methane Leakage'!$G$5*((($J$6+$J$7-$J$8)/$J$13)+((('Calcs - Transp'!$C81+'Calcs - Transp'!$D81+'Calcs - Transp'!$E81+'Calcs - Transp'!$F81)*($J$9+$J$10-$J$11-$J$12))/((102*'Calcs - Transp'!$B81)*$J$13)))</f>
        <v>2.8000000000000014E-2</v>
      </c>
      <c r="D102" s="455">
        <f>'Methane Leakage'!$G$5*((($P$6+$P$7-$P$8)/$P$13)+((('Calcs - Transp'!$C81+'Calcs - Transp'!$D81+'Calcs - Transp'!$E81+'Calcs - Transp'!$F81)*($P$9+$P$10-$P$11-$P$12))/((102*'Calcs - Transp'!$B81)*$P$13)))</f>
        <v>2.8000000000000014E-2</v>
      </c>
    </row>
    <row r="103" spans="1:4" x14ac:dyDescent="0.3">
      <c r="A103" s="358">
        <f t="shared" si="5"/>
        <v>71</v>
      </c>
      <c r="B103" s="455">
        <f>'Methane Leakage'!$C$5*(($D$6+$D$7-$D$8-$D$9)/($D$16+$D$17)+((('Calcs - Power'!C82+'Calcs - Power'!D82+'Calcs - Power'!E82+'Calcs - Power'!F82)*($D$10+$D$11-$D$12-$D$13-$D$14-$D$15))/((102*'Calcs - Power'!B82)*($D$16+$D$17))))</f>
        <v>2.0000000000000028E-2</v>
      </c>
      <c r="C103" s="455">
        <f>'Methane Leakage'!$G$5*((($J$6+$J$7-$J$8)/$J$13)+((('Calcs - Transp'!$C82+'Calcs - Transp'!$D82+'Calcs - Transp'!$E82+'Calcs - Transp'!$F82)*($J$9+$J$10-$J$11-$J$12))/((102*'Calcs - Transp'!$B82)*$J$13)))</f>
        <v>2.8000000000000014E-2</v>
      </c>
      <c r="D103" s="455">
        <f>'Methane Leakage'!$G$5*((($P$6+$P$7-$P$8)/$P$13)+((('Calcs - Transp'!$C82+'Calcs - Transp'!$D82+'Calcs - Transp'!$E82+'Calcs - Transp'!$F82)*($P$9+$P$10-$P$11-$P$12))/((102*'Calcs - Transp'!$B82)*$P$13)))</f>
        <v>2.8000000000000014E-2</v>
      </c>
    </row>
    <row r="104" spans="1:4" x14ac:dyDescent="0.3">
      <c r="A104" s="358">
        <f t="shared" si="5"/>
        <v>72</v>
      </c>
      <c r="B104" s="455">
        <f>'Methane Leakage'!$C$5*(($D$6+$D$7-$D$8-$D$9)/($D$16+$D$17)+((('Calcs - Power'!C83+'Calcs - Power'!D83+'Calcs - Power'!E83+'Calcs - Power'!F83)*($D$10+$D$11-$D$12-$D$13-$D$14-$D$15))/((102*'Calcs - Power'!B83)*($D$16+$D$17))))</f>
        <v>2.0000000000000028E-2</v>
      </c>
      <c r="C104" s="455">
        <f>'Methane Leakage'!$G$5*((($J$6+$J$7-$J$8)/$J$13)+((('Calcs - Transp'!$C83+'Calcs - Transp'!$D83+'Calcs - Transp'!$E83+'Calcs - Transp'!$F83)*($J$9+$J$10-$J$11-$J$12))/((102*'Calcs - Transp'!$B83)*$J$13)))</f>
        <v>2.8000000000000014E-2</v>
      </c>
      <c r="D104" s="455">
        <f>'Methane Leakage'!$G$5*((($P$6+$P$7-$P$8)/$P$13)+((('Calcs - Transp'!$C83+'Calcs - Transp'!$D83+'Calcs - Transp'!$E83+'Calcs - Transp'!$F83)*($P$9+$P$10-$P$11-$P$12))/((102*'Calcs - Transp'!$B83)*$P$13)))</f>
        <v>2.8000000000000014E-2</v>
      </c>
    </row>
    <row r="105" spans="1:4" x14ac:dyDescent="0.3">
      <c r="A105" s="358">
        <f t="shared" si="5"/>
        <v>73</v>
      </c>
      <c r="B105" s="455">
        <f>'Methane Leakage'!$C$5*(($D$6+$D$7-$D$8-$D$9)/($D$16+$D$17)+((('Calcs - Power'!C84+'Calcs - Power'!D84+'Calcs - Power'!E84+'Calcs - Power'!F84)*($D$10+$D$11-$D$12-$D$13-$D$14-$D$15))/((102*'Calcs - Power'!B84)*($D$16+$D$17))))</f>
        <v>2.0000000000000028E-2</v>
      </c>
      <c r="C105" s="455">
        <f>'Methane Leakage'!$G$5*((($J$6+$J$7-$J$8)/$J$13)+((('Calcs - Transp'!$C84+'Calcs - Transp'!$D84+'Calcs - Transp'!$E84+'Calcs - Transp'!$F84)*($J$9+$J$10-$J$11-$J$12))/((102*'Calcs - Transp'!$B84)*$J$13)))</f>
        <v>2.8000000000000014E-2</v>
      </c>
      <c r="D105" s="455">
        <f>'Methane Leakage'!$G$5*((($P$6+$P$7-$P$8)/$P$13)+((('Calcs - Transp'!$C84+'Calcs - Transp'!$D84+'Calcs - Transp'!$E84+'Calcs - Transp'!$F84)*($P$9+$P$10-$P$11-$P$12))/((102*'Calcs - Transp'!$B84)*$P$13)))</f>
        <v>2.8000000000000014E-2</v>
      </c>
    </row>
    <row r="106" spans="1:4" x14ac:dyDescent="0.3">
      <c r="A106" s="358">
        <f t="shared" si="5"/>
        <v>74</v>
      </c>
      <c r="B106" s="455">
        <f>'Methane Leakage'!$C$5*(($D$6+$D$7-$D$8-$D$9)/($D$16+$D$17)+((('Calcs - Power'!C85+'Calcs - Power'!D85+'Calcs - Power'!E85+'Calcs - Power'!F85)*($D$10+$D$11-$D$12-$D$13-$D$14-$D$15))/((102*'Calcs - Power'!B85)*($D$16+$D$17))))</f>
        <v>2.0000000000000028E-2</v>
      </c>
      <c r="C106" s="455">
        <f>'Methane Leakage'!$G$5*((($J$6+$J$7-$J$8)/$J$13)+((('Calcs - Transp'!$C85+'Calcs - Transp'!$D85+'Calcs - Transp'!$E85+'Calcs - Transp'!$F85)*($J$9+$J$10-$J$11-$J$12))/((102*'Calcs - Transp'!$B85)*$J$13)))</f>
        <v>2.8000000000000014E-2</v>
      </c>
      <c r="D106" s="455">
        <f>'Methane Leakage'!$G$5*((($P$6+$P$7-$P$8)/$P$13)+((('Calcs - Transp'!$C85+'Calcs - Transp'!$D85+'Calcs - Transp'!$E85+'Calcs - Transp'!$F85)*($P$9+$P$10-$P$11-$P$12))/((102*'Calcs - Transp'!$B85)*$P$13)))</f>
        <v>2.8000000000000014E-2</v>
      </c>
    </row>
    <row r="107" spans="1:4" x14ac:dyDescent="0.3">
      <c r="A107" s="358">
        <f t="shared" si="5"/>
        <v>75</v>
      </c>
      <c r="B107" s="455">
        <f>'Methane Leakage'!$C$5*(($D$6+$D$7-$D$8-$D$9)/($D$16+$D$17)+((('Calcs - Power'!C86+'Calcs - Power'!D86+'Calcs - Power'!E86+'Calcs - Power'!F86)*($D$10+$D$11-$D$12-$D$13-$D$14-$D$15))/((102*'Calcs - Power'!B86)*($D$16+$D$17))))</f>
        <v>2.0000000000000028E-2</v>
      </c>
      <c r="C107" s="455">
        <f>'Methane Leakage'!$G$5*((($J$6+$J$7-$J$8)/$J$13)+((('Calcs - Transp'!$C86+'Calcs - Transp'!$D86+'Calcs - Transp'!$E86+'Calcs - Transp'!$F86)*($J$9+$J$10-$J$11-$J$12))/((102*'Calcs - Transp'!$B86)*$J$13)))</f>
        <v>2.8000000000000014E-2</v>
      </c>
      <c r="D107" s="455">
        <f>'Methane Leakage'!$G$5*((($P$6+$P$7-$P$8)/$P$13)+((('Calcs - Transp'!$C86+'Calcs - Transp'!$D86+'Calcs - Transp'!$E86+'Calcs - Transp'!$F86)*($P$9+$P$10-$P$11-$P$12))/((102*'Calcs - Transp'!$B86)*$P$13)))</f>
        <v>2.8000000000000014E-2</v>
      </c>
    </row>
    <row r="108" spans="1:4" x14ac:dyDescent="0.3">
      <c r="A108" s="358">
        <f t="shared" si="5"/>
        <v>76</v>
      </c>
      <c r="B108" s="455">
        <f>'Methane Leakage'!$C$5*(($D$6+$D$7-$D$8-$D$9)/($D$16+$D$17)+((('Calcs - Power'!C87+'Calcs - Power'!D87+'Calcs - Power'!E87+'Calcs - Power'!F87)*($D$10+$D$11-$D$12-$D$13-$D$14-$D$15))/((102*'Calcs - Power'!B87)*($D$16+$D$17))))</f>
        <v>2.0000000000000028E-2</v>
      </c>
      <c r="C108" s="455">
        <f>'Methane Leakage'!$G$5*((($J$6+$J$7-$J$8)/$J$13)+((('Calcs - Transp'!$C87+'Calcs - Transp'!$D87+'Calcs - Transp'!$E87+'Calcs - Transp'!$F87)*($J$9+$J$10-$J$11-$J$12))/((102*'Calcs - Transp'!$B87)*$J$13)))</f>
        <v>2.8000000000000014E-2</v>
      </c>
      <c r="D108" s="455">
        <f>'Methane Leakage'!$G$5*((($P$6+$P$7-$P$8)/$P$13)+((('Calcs - Transp'!$C87+'Calcs - Transp'!$D87+'Calcs - Transp'!$E87+'Calcs - Transp'!$F87)*($P$9+$P$10-$P$11-$P$12))/((102*'Calcs - Transp'!$B87)*$P$13)))</f>
        <v>2.8000000000000014E-2</v>
      </c>
    </row>
    <row r="109" spans="1:4" x14ac:dyDescent="0.3">
      <c r="A109" s="358">
        <f t="shared" si="5"/>
        <v>77</v>
      </c>
      <c r="B109" s="455">
        <f>'Methane Leakage'!$C$5*(($D$6+$D$7-$D$8-$D$9)/($D$16+$D$17)+((('Calcs - Power'!C88+'Calcs - Power'!D88+'Calcs - Power'!E88+'Calcs - Power'!F88)*($D$10+$D$11-$D$12-$D$13-$D$14-$D$15))/((102*'Calcs - Power'!B88)*($D$16+$D$17))))</f>
        <v>2.0000000000000028E-2</v>
      </c>
      <c r="C109" s="455">
        <f>'Methane Leakage'!$G$5*((($J$6+$J$7-$J$8)/$J$13)+((('Calcs - Transp'!$C88+'Calcs - Transp'!$D88+'Calcs - Transp'!$E88+'Calcs - Transp'!$F88)*($J$9+$J$10-$J$11-$J$12))/((102*'Calcs - Transp'!$B88)*$J$13)))</f>
        <v>2.8000000000000014E-2</v>
      </c>
      <c r="D109" s="455">
        <f>'Methane Leakage'!$G$5*((($P$6+$P$7-$P$8)/$P$13)+((('Calcs - Transp'!$C88+'Calcs - Transp'!$D88+'Calcs - Transp'!$E88+'Calcs - Transp'!$F88)*($P$9+$P$10-$P$11-$P$12))/((102*'Calcs - Transp'!$B88)*$P$13)))</f>
        <v>2.8000000000000014E-2</v>
      </c>
    </row>
    <row r="110" spans="1:4" x14ac:dyDescent="0.3">
      <c r="A110" s="358">
        <f t="shared" si="5"/>
        <v>78</v>
      </c>
      <c r="B110" s="455">
        <f>'Methane Leakage'!$C$5*(($D$6+$D$7-$D$8-$D$9)/($D$16+$D$17)+((('Calcs - Power'!C89+'Calcs - Power'!D89+'Calcs - Power'!E89+'Calcs - Power'!F89)*($D$10+$D$11-$D$12-$D$13-$D$14-$D$15))/((102*'Calcs - Power'!B89)*($D$16+$D$17))))</f>
        <v>2.0000000000000028E-2</v>
      </c>
      <c r="C110" s="455">
        <f>'Methane Leakage'!$G$5*((($J$6+$J$7-$J$8)/$J$13)+((('Calcs - Transp'!$C89+'Calcs - Transp'!$D89+'Calcs - Transp'!$E89+'Calcs - Transp'!$F89)*($J$9+$J$10-$J$11-$J$12))/((102*'Calcs - Transp'!$B89)*$J$13)))</f>
        <v>2.8000000000000014E-2</v>
      </c>
      <c r="D110" s="455">
        <f>'Methane Leakage'!$G$5*((($P$6+$P$7-$P$8)/$P$13)+((('Calcs - Transp'!$C89+'Calcs - Transp'!$D89+'Calcs - Transp'!$E89+'Calcs - Transp'!$F89)*($P$9+$P$10-$P$11-$P$12))/((102*'Calcs - Transp'!$B89)*$P$13)))</f>
        <v>2.8000000000000014E-2</v>
      </c>
    </row>
    <row r="111" spans="1:4" x14ac:dyDescent="0.3">
      <c r="A111" s="358">
        <f t="shared" si="5"/>
        <v>79</v>
      </c>
      <c r="B111" s="455">
        <f>'Methane Leakage'!$C$5*(($D$6+$D$7-$D$8-$D$9)/($D$16+$D$17)+((('Calcs - Power'!C90+'Calcs - Power'!D90+'Calcs - Power'!E90+'Calcs - Power'!F90)*($D$10+$D$11-$D$12-$D$13-$D$14-$D$15))/((102*'Calcs - Power'!B90)*($D$16+$D$17))))</f>
        <v>2.0000000000000032E-2</v>
      </c>
      <c r="C111" s="455">
        <f>'Methane Leakage'!$G$5*((($J$6+$J$7-$J$8)/$J$13)+((('Calcs - Transp'!$C90+'Calcs - Transp'!$D90+'Calcs - Transp'!$E90+'Calcs - Transp'!$F90)*($J$9+$J$10-$J$11-$J$12))/((102*'Calcs - Transp'!$B90)*$J$13)))</f>
        <v>2.8000000000000014E-2</v>
      </c>
      <c r="D111" s="455">
        <f>'Methane Leakage'!$G$5*((($P$6+$P$7-$P$8)/$P$13)+((('Calcs - Transp'!$C90+'Calcs - Transp'!$D90+'Calcs - Transp'!$E90+'Calcs - Transp'!$F90)*($P$9+$P$10-$P$11-$P$12))/((102*'Calcs - Transp'!$B90)*$P$13)))</f>
        <v>2.8000000000000014E-2</v>
      </c>
    </row>
    <row r="112" spans="1:4" x14ac:dyDescent="0.3">
      <c r="A112" s="358">
        <f t="shared" si="5"/>
        <v>80</v>
      </c>
      <c r="B112" s="455">
        <f>'Methane Leakage'!$C$5*(($D$6+$D$7-$D$8-$D$9)/($D$16+$D$17)+((('Calcs - Power'!C91+'Calcs - Power'!D91+'Calcs - Power'!E91+'Calcs - Power'!F91)*($D$10+$D$11-$D$12-$D$13-$D$14-$D$15))/((102*'Calcs - Power'!B91)*($D$16+$D$17))))</f>
        <v>2.0000000000000032E-2</v>
      </c>
      <c r="C112" s="455">
        <f>'Methane Leakage'!$G$5*((($J$6+$J$7-$J$8)/$J$13)+((('Calcs - Transp'!$C91+'Calcs - Transp'!$D91+'Calcs - Transp'!$E91+'Calcs - Transp'!$F91)*($J$9+$J$10-$J$11-$J$12))/((102*'Calcs - Transp'!$B91)*$J$13)))</f>
        <v>2.8000000000000014E-2</v>
      </c>
      <c r="D112" s="455">
        <f>'Methane Leakage'!$G$5*((($P$6+$P$7-$P$8)/$P$13)+((('Calcs - Transp'!$C91+'Calcs - Transp'!$D91+'Calcs - Transp'!$E91+'Calcs - Transp'!$F91)*($P$9+$P$10-$P$11-$P$12))/((102*'Calcs - Transp'!$B91)*$P$13)))</f>
        <v>2.8000000000000014E-2</v>
      </c>
    </row>
    <row r="113" spans="1:4" x14ac:dyDescent="0.3">
      <c r="A113" s="358">
        <f t="shared" si="5"/>
        <v>81</v>
      </c>
      <c r="B113" s="455">
        <f>'Methane Leakage'!$C$5*(($D$6+$D$7-$D$8-$D$9)/($D$16+$D$17)+((('Calcs - Power'!C92+'Calcs - Power'!D92+'Calcs - Power'!E92+'Calcs - Power'!F92)*($D$10+$D$11-$D$12-$D$13-$D$14-$D$15))/((102*'Calcs - Power'!B92)*($D$16+$D$17))))</f>
        <v>2.0000000000000032E-2</v>
      </c>
      <c r="C113" s="455">
        <f>'Methane Leakage'!$G$5*((($J$6+$J$7-$J$8)/$J$13)+((('Calcs - Transp'!$C92+'Calcs - Transp'!$D92+'Calcs - Transp'!$E92+'Calcs - Transp'!$F92)*($J$9+$J$10-$J$11-$J$12))/((102*'Calcs - Transp'!$B92)*$J$13)))</f>
        <v>2.8000000000000014E-2</v>
      </c>
      <c r="D113" s="455">
        <f>'Methane Leakage'!$G$5*((($P$6+$P$7-$P$8)/$P$13)+((('Calcs - Transp'!$C92+'Calcs - Transp'!$D92+'Calcs - Transp'!$E92+'Calcs - Transp'!$F92)*($P$9+$P$10-$P$11-$P$12))/((102*'Calcs - Transp'!$B92)*$P$13)))</f>
        <v>2.8000000000000014E-2</v>
      </c>
    </row>
    <row r="114" spans="1:4" x14ac:dyDescent="0.3">
      <c r="A114" s="358">
        <f t="shared" si="5"/>
        <v>82</v>
      </c>
      <c r="B114" s="455">
        <f>'Methane Leakage'!$C$5*(($D$6+$D$7-$D$8-$D$9)/($D$16+$D$17)+((('Calcs - Power'!C93+'Calcs - Power'!D93+'Calcs - Power'!E93+'Calcs - Power'!F93)*($D$10+$D$11-$D$12-$D$13-$D$14-$D$15))/((102*'Calcs - Power'!B93)*($D$16+$D$17))))</f>
        <v>2.0000000000000032E-2</v>
      </c>
      <c r="C114" s="455">
        <f>'Methane Leakage'!$G$5*((($J$6+$J$7-$J$8)/$J$13)+((('Calcs - Transp'!$C93+'Calcs - Transp'!$D93+'Calcs - Transp'!$E93+'Calcs - Transp'!$F93)*($J$9+$J$10-$J$11-$J$12))/((102*'Calcs - Transp'!$B93)*$J$13)))</f>
        <v>2.8000000000000014E-2</v>
      </c>
      <c r="D114" s="455">
        <f>'Methane Leakage'!$G$5*((($P$6+$P$7-$P$8)/$P$13)+((('Calcs - Transp'!$C93+'Calcs - Transp'!$D93+'Calcs - Transp'!$E93+'Calcs - Transp'!$F93)*($P$9+$P$10-$P$11-$P$12))/((102*'Calcs - Transp'!$B93)*$P$13)))</f>
        <v>2.8000000000000014E-2</v>
      </c>
    </row>
    <row r="115" spans="1:4" x14ac:dyDescent="0.3">
      <c r="A115" s="358">
        <f t="shared" si="5"/>
        <v>83</v>
      </c>
      <c r="B115" s="455">
        <f>'Methane Leakage'!$C$5*(($D$6+$D$7-$D$8-$D$9)/($D$16+$D$17)+((('Calcs - Power'!C94+'Calcs - Power'!D94+'Calcs - Power'!E94+'Calcs - Power'!F94)*($D$10+$D$11-$D$12-$D$13-$D$14-$D$15))/((102*'Calcs - Power'!B94)*($D$16+$D$17))))</f>
        <v>2.0000000000000032E-2</v>
      </c>
      <c r="C115" s="455">
        <f>'Methane Leakage'!$G$5*((($J$6+$J$7-$J$8)/$J$13)+((('Calcs - Transp'!$C94+'Calcs - Transp'!$D94+'Calcs - Transp'!$E94+'Calcs - Transp'!$F94)*($J$9+$J$10-$J$11-$J$12))/((102*'Calcs - Transp'!$B94)*$J$13)))</f>
        <v>2.8000000000000014E-2</v>
      </c>
      <c r="D115" s="455">
        <f>'Methane Leakage'!$G$5*((($P$6+$P$7-$P$8)/$P$13)+((('Calcs - Transp'!$C94+'Calcs - Transp'!$D94+'Calcs - Transp'!$E94+'Calcs - Transp'!$F94)*($P$9+$P$10-$P$11-$P$12))/((102*'Calcs - Transp'!$B94)*$P$13)))</f>
        <v>2.8000000000000014E-2</v>
      </c>
    </row>
    <row r="116" spans="1:4" x14ac:dyDescent="0.3">
      <c r="A116" s="358">
        <f t="shared" si="5"/>
        <v>84</v>
      </c>
      <c r="B116" s="455">
        <f>'Methane Leakage'!$C$5*(($D$6+$D$7-$D$8-$D$9)/($D$16+$D$17)+((('Calcs - Power'!C95+'Calcs - Power'!D95+'Calcs - Power'!E95+'Calcs - Power'!F95)*($D$10+$D$11-$D$12-$D$13-$D$14-$D$15))/((102*'Calcs - Power'!B95)*($D$16+$D$17))))</f>
        <v>2.0000000000000032E-2</v>
      </c>
      <c r="C116" s="455">
        <f>'Methane Leakage'!$G$5*((($J$6+$J$7-$J$8)/$J$13)+((('Calcs - Transp'!$C95+'Calcs - Transp'!$D95+'Calcs - Transp'!$E95+'Calcs - Transp'!$F95)*($J$9+$J$10-$J$11-$J$12))/((102*'Calcs - Transp'!$B95)*$J$13)))</f>
        <v>2.8000000000000014E-2</v>
      </c>
      <c r="D116" s="455">
        <f>'Methane Leakage'!$G$5*((($P$6+$P$7-$P$8)/$P$13)+((('Calcs - Transp'!$C95+'Calcs - Transp'!$D95+'Calcs - Transp'!$E95+'Calcs - Transp'!$F95)*($P$9+$P$10-$P$11-$P$12))/((102*'Calcs - Transp'!$B95)*$P$13)))</f>
        <v>2.8000000000000014E-2</v>
      </c>
    </row>
    <row r="117" spans="1:4" x14ac:dyDescent="0.3">
      <c r="A117" s="358">
        <f t="shared" si="5"/>
        <v>85</v>
      </c>
      <c r="B117" s="455">
        <f>'Methane Leakage'!$C$5*(($D$6+$D$7-$D$8-$D$9)/($D$16+$D$17)+((('Calcs - Power'!C96+'Calcs - Power'!D96+'Calcs - Power'!E96+'Calcs - Power'!F96)*($D$10+$D$11-$D$12-$D$13-$D$14-$D$15))/((102*'Calcs - Power'!B96)*($D$16+$D$17))))</f>
        <v>2.0000000000000032E-2</v>
      </c>
      <c r="C117" s="455">
        <f>'Methane Leakage'!$G$5*((($J$6+$J$7-$J$8)/$J$13)+((('Calcs - Transp'!$C96+'Calcs - Transp'!$D96+'Calcs - Transp'!$E96+'Calcs - Transp'!$F96)*($J$9+$J$10-$J$11-$J$12))/((102*'Calcs - Transp'!$B96)*$J$13)))</f>
        <v>2.8000000000000014E-2</v>
      </c>
      <c r="D117" s="455">
        <f>'Methane Leakage'!$G$5*((($P$6+$P$7-$P$8)/$P$13)+((('Calcs - Transp'!$C96+'Calcs - Transp'!$D96+'Calcs - Transp'!$E96+'Calcs - Transp'!$F96)*($P$9+$P$10-$P$11-$P$12))/((102*'Calcs - Transp'!$B96)*$P$13)))</f>
        <v>2.8000000000000014E-2</v>
      </c>
    </row>
    <row r="118" spans="1:4" x14ac:dyDescent="0.3">
      <c r="A118" s="358">
        <f t="shared" si="5"/>
        <v>86</v>
      </c>
      <c r="B118" s="455">
        <f>'Methane Leakage'!$C$5*(($D$6+$D$7-$D$8-$D$9)/($D$16+$D$17)+((('Calcs - Power'!C97+'Calcs - Power'!D97+'Calcs - Power'!E97+'Calcs - Power'!F97)*($D$10+$D$11-$D$12-$D$13-$D$14-$D$15))/((102*'Calcs - Power'!B97)*($D$16+$D$17))))</f>
        <v>2.0000000000000032E-2</v>
      </c>
      <c r="C118" s="455">
        <f>'Methane Leakage'!$G$5*((($J$6+$J$7-$J$8)/$J$13)+((('Calcs - Transp'!$C97+'Calcs - Transp'!$D97+'Calcs - Transp'!$E97+'Calcs - Transp'!$F97)*($J$9+$J$10-$J$11-$J$12))/((102*'Calcs - Transp'!$B97)*$J$13)))</f>
        <v>2.8000000000000014E-2</v>
      </c>
      <c r="D118" s="455">
        <f>'Methane Leakage'!$G$5*((($P$6+$P$7-$P$8)/$P$13)+((('Calcs - Transp'!$C97+'Calcs - Transp'!$D97+'Calcs - Transp'!$E97+'Calcs - Transp'!$F97)*($P$9+$P$10-$P$11-$P$12))/((102*'Calcs - Transp'!$B97)*$P$13)))</f>
        <v>2.8000000000000014E-2</v>
      </c>
    </row>
    <row r="119" spans="1:4" x14ac:dyDescent="0.3">
      <c r="A119" s="358">
        <f t="shared" si="5"/>
        <v>87</v>
      </c>
      <c r="B119" s="455">
        <f>'Methane Leakage'!$C$5*(($D$6+$D$7-$D$8-$D$9)/($D$16+$D$17)+((('Calcs - Power'!C98+'Calcs - Power'!D98+'Calcs - Power'!E98+'Calcs - Power'!F98)*($D$10+$D$11-$D$12-$D$13-$D$14-$D$15))/((102*'Calcs - Power'!B98)*($D$16+$D$17))))</f>
        <v>2.0000000000000032E-2</v>
      </c>
      <c r="C119" s="455">
        <f>'Methane Leakage'!$G$5*((($J$6+$J$7-$J$8)/$J$13)+((('Calcs - Transp'!$C98+'Calcs - Transp'!$D98+'Calcs - Transp'!$E98+'Calcs - Transp'!$F98)*($J$9+$J$10-$J$11-$J$12))/((102*'Calcs - Transp'!$B98)*$J$13)))</f>
        <v>2.8000000000000014E-2</v>
      </c>
      <c r="D119" s="455">
        <f>'Methane Leakage'!$G$5*((($P$6+$P$7-$P$8)/$P$13)+((('Calcs - Transp'!$C98+'Calcs - Transp'!$D98+'Calcs - Transp'!$E98+'Calcs - Transp'!$F98)*($P$9+$P$10-$P$11-$P$12))/((102*'Calcs - Transp'!$B98)*$P$13)))</f>
        <v>2.8000000000000014E-2</v>
      </c>
    </row>
    <row r="120" spans="1:4" x14ac:dyDescent="0.3">
      <c r="A120" s="358">
        <f t="shared" si="5"/>
        <v>88</v>
      </c>
      <c r="B120" s="455">
        <f>'Methane Leakage'!$C$5*(($D$6+$D$7-$D$8-$D$9)/($D$16+$D$17)+((('Calcs - Power'!C99+'Calcs - Power'!D99+'Calcs - Power'!E99+'Calcs - Power'!F99)*($D$10+$D$11-$D$12-$D$13-$D$14-$D$15))/((102*'Calcs - Power'!B99)*($D$16+$D$17))))</f>
        <v>2.0000000000000032E-2</v>
      </c>
      <c r="C120" s="455">
        <f>'Methane Leakage'!$G$5*((($J$6+$J$7-$J$8)/$J$13)+((('Calcs - Transp'!$C99+'Calcs - Transp'!$D99+'Calcs - Transp'!$E99+'Calcs - Transp'!$F99)*($J$9+$J$10-$J$11-$J$12))/((102*'Calcs - Transp'!$B99)*$J$13)))</f>
        <v>2.8000000000000014E-2</v>
      </c>
      <c r="D120" s="455">
        <f>'Methane Leakage'!$G$5*((($P$6+$P$7-$P$8)/$P$13)+((('Calcs - Transp'!$C99+'Calcs - Transp'!$D99+'Calcs - Transp'!$E99+'Calcs - Transp'!$F99)*($P$9+$P$10-$P$11-$P$12))/((102*'Calcs - Transp'!$B99)*$P$13)))</f>
        <v>2.8000000000000014E-2</v>
      </c>
    </row>
    <row r="121" spans="1:4" x14ac:dyDescent="0.3">
      <c r="A121" s="358">
        <f t="shared" si="5"/>
        <v>89</v>
      </c>
      <c r="B121" s="455">
        <f>'Methane Leakage'!$C$5*(($D$6+$D$7-$D$8-$D$9)/($D$16+$D$17)+((('Calcs - Power'!C100+'Calcs - Power'!D100+'Calcs - Power'!E100+'Calcs - Power'!F100)*($D$10+$D$11-$D$12-$D$13-$D$14-$D$15))/((102*'Calcs - Power'!B100)*($D$16+$D$17))))</f>
        <v>2.0000000000000032E-2</v>
      </c>
      <c r="C121" s="455">
        <f>'Methane Leakage'!$G$5*((($J$6+$J$7-$J$8)/$J$13)+((('Calcs - Transp'!$C100+'Calcs - Transp'!$D100+'Calcs - Transp'!$E100+'Calcs - Transp'!$F100)*($J$9+$J$10-$J$11-$J$12))/((102*'Calcs - Transp'!$B100)*$J$13)))</f>
        <v>2.8000000000000014E-2</v>
      </c>
      <c r="D121" s="455">
        <f>'Methane Leakage'!$G$5*((($P$6+$P$7-$P$8)/$P$13)+((('Calcs - Transp'!$C100+'Calcs - Transp'!$D100+'Calcs - Transp'!$E100+'Calcs - Transp'!$F100)*($P$9+$P$10-$P$11-$P$12))/((102*'Calcs - Transp'!$B100)*$P$13)))</f>
        <v>2.8000000000000014E-2</v>
      </c>
    </row>
    <row r="122" spans="1:4" x14ac:dyDescent="0.3">
      <c r="A122" s="358">
        <f t="shared" si="5"/>
        <v>90</v>
      </c>
      <c r="B122" s="455">
        <f>'Methane Leakage'!$C$5*(($D$6+$D$7-$D$8-$D$9)/($D$16+$D$17)+((('Calcs - Power'!C101+'Calcs - Power'!D101+'Calcs - Power'!E101+'Calcs - Power'!F101)*($D$10+$D$11-$D$12-$D$13-$D$14-$D$15))/((102*'Calcs - Power'!B101)*($D$16+$D$17))))</f>
        <v>2.0000000000000032E-2</v>
      </c>
      <c r="C122" s="455">
        <f>'Methane Leakage'!$G$5*((($J$6+$J$7-$J$8)/$J$13)+((('Calcs - Transp'!$C101+'Calcs - Transp'!$D101+'Calcs - Transp'!$E101+'Calcs - Transp'!$F101)*($J$9+$J$10-$J$11-$J$12))/((102*'Calcs - Transp'!$B101)*$J$13)))</f>
        <v>2.8000000000000014E-2</v>
      </c>
      <c r="D122" s="455">
        <f>'Methane Leakage'!$G$5*((($P$6+$P$7-$P$8)/$P$13)+((('Calcs - Transp'!$C101+'Calcs - Transp'!$D101+'Calcs - Transp'!$E101+'Calcs - Transp'!$F101)*($P$9+$P$10-$P$11-$P$12))/((102*'Calcs - Transp'!$B101)*$P$13)))</f>
        <v>2.8000000000000014E-2</v>
      </c>
    </row>
    <row r="123" spans="1:4" x14ac:dyDescent="0.3">
      <c r="A123" s="358">
        <f t="shared" si="5"/>
        <v>91</v>
      </c>
      <c r="B123" s="455">
        <f>'Methane Leakage'!$C$5*(($D$6+$D$7-$D$8-$D$9)/($D$16+$D$17)+((('Calcs - Power'!C102+'Calcs - Power'!D102+'Calcs - Power'!E102+'Calcs - Power'!F102)*($D$10+$D$11-$D$12-$D$13-$D$14-$D$15))/((102*'Calcs - Power'!B102)*($D$16+$D$17))))</f>
        <v>2.0000000000000032E-2</v>
      </c>
      <c r="C123" s="455">
        <f>'Methane Leakage'!$G$5*((($J$6+$J$7-$J$8)/$J$13)+((('Calcs - Transp'!$C102+'Calcs - Transp'!$D102+'Calcs - Transp'!$E102+'Calcs - Transp'!$F102)*($J$9+$J$10-$J$11-$J$12))/((102*'Calcs - Transp'!$B102)*$J$13)))</f>
        <v>2.8000000000000014E-2</v>
      </c>
      <c r="D123" s="455">
        <f>'Methane Leakage'!$G$5*((($P$6+$P$7-$P$8)/$P$13)+((('Calcs - Transp'!$C102+'Calcs - Transp'!$D102+'Calcs - Transp'!$E102+'Calcs - Transp'!$F102)*($P$9+$P$10-$P$11-$P$12))/((102*'Calcs - Transp'!$B102)*$P$13)))</f>
        <v>2.8000000000000014E-2</v>
      </c>
    </row>
    <row r="124" spans="1:4" x14ac:dyDescent="0.3">
      <c r="A124" s="358">
        <f t="shared" si="5"/>
        <v>92</v>
      </c>
      <c r="B124" s="455">
        <f>'Methane Leakage'!$C$5*(($D$6+$D$7-$D$8-$D$9)/($D$16+$D$17)+((('Calcs - Power'!C103+'Calcs - Power'!D103+'Calcs - Power'!E103+'Calcs - Power'!F103)*($D$10+$D$11-$D$12-$D$13-$D$14-$D$15))/((102*'Calcs - Power'!B103)*($D$16+$D$17))))</f>
        <v>2.0000000000000032E-2</v>
      </c>
      <c r="C124" s="455">
        <f>'Methane Leakage'!$G$5*((($J$6+$J$7-$J$8)/$J$13)+((('Calcs - Transp'!$C103+'Calcs - Transp'!$D103+'Calcs - Transp'!$E103+'Calcs - Transp'!$F103)*($J$9+$J$10-$J$11-$J$12))/((102*'Calcs - Transp'!$B103)*$J$13)))</f>
        <v>2.8000000000000014E-2</v>
      </c>
      <c r="D124" s="455">
        <f>'Methane Leakage'!$G$5*((($P$6+$P$7-$P$8)/$P$13)+((('Calcs - Transp'!$C103+'Calcs - Transp'!$D103+'Calcs - Transp'!$E103+'Calcs - Transp'!$F103)*($P$9+$P$10-$P$11-$P$12))/((102*'Calcs - Transp'!$B103)*$P$13)))</f>
        <v>2.8000000000000014E-2</v>
      </c>
    </row>
    <row r="125" spans="1:4" x14ac:dyDescent="0.3">
      <c r="A125" s="358">
        <f t="shared" si="5"/>
        <v>93</v>
      </c>
      <c r="B125" s="455">
        <f>'Methane Leakage'!$C$5*(($D$6+$D$7-$D$8-$D$9)/($D$16+$D$17)+((('Calcs - Power'!C104+'Calcs - Power'!D104+'Calcs - Power'!E104+'Calcs - Power'!F104)*($D$10+$D$11-$D$12-$D$13-$D$14-$D$15))/((102*'Calcs - Power'!B104)*($D$16+$D$17))))</f>
        <v>2.0000000000000032E-2</v>
      </c>
      <c r="C125" s="455">
        <f>'Methane Leakage'!$G$5*((($J$6+$J$7-$J$8)/$J$13)+((('Calcs - Transp'!$C104+'Calcs - Transp'!$D104+'Calcs - Transp'!$E104+'Calcs - Transp'!$F104)*($J$9+$J$10-$J$11-$J$12))/((102*'Calcs - Transp'!$B104)*$J$13)))</f>
        <v>2.8000000000000014E-2</v>
      </c>
      <c r="D125" s="455">
        <f>'Methane Leakage'!$G$5*((($P$6+$P$7-$P$8)/$P$13)+((('Calcs - Transp'!$C104+'Calcs - Transp'!$D104+'Calcs - Transp'!$E104+'Calcs - Transp'!$F104)*($P$9+$P$10-$P$11-$P$12))/((102*'Calcs - Transp'!$B104)*$P$13)))</f>
        <v>2.8000000000000014E-2</v>
      </c>
    </row>
    <row r="126" spans="1:4" x14ac:dyDescent="0.3">
      <c r="A126" s="358">
        <f t="shared" si="5"/>
        <v>94</v>
      </c>
      <c r="B126" s="455">
        <f>'Methane Leakage'!$C$5*(($D$6+$D$7-$D$8-$D$9)/($D$16+$D$17)+((('Calcs - Power'!C105+'Calcs - Power'!D105+'Calcs - Power'!E105+'Calcs - Power'!F105)*($D$10+$D$11-$D$12-$D$13-$D$14-$D$15))/((102*'Calcs - Power'!B105)*($D$16+$D$17))))</f>
        <v>2.0000000000000032E-2</v>
      </c>
      <c r="C126" s="455">
        <f>'Methane Leakage'!$G$5*((($J$6+$J$7-$J$8)/$J$13)+((('Calcs - Transp'!$C105+'Calcs - Transp'!$D105+'Calcs - Transp'!$E105+'Calcs - Transp'!$F105)*($J$9+$J$10-$J$11-$J$12))/((102*'Calcs - Transp'!$B105)*$J$13)))</f>
        <v>2.8000000000000014E-2</v>
      </c>
      <c r="D126" s="455">
        <f>'Methane Leakage'!$G$5*((($P$6+$P$7-$P$8)/$P$13)+((('Calcs - Transp'!$C105+'Calcs - Transp'!$D105+'Calcs - Transp'!$E105+'Calcs - Transp'!$F105)*($P$9+$P$10-$P$11-$P$12))/((102*'Calcs - Transp'!$B105)*$P$13)))</f>
        <v>2.8000000000000014E-2</v>
      </c>
    </row>
    <row r="127" spans="1:4" x14ac:dyDescent="0.3">
      <c r="A127" s="358">
        <f t="shared" si="5"/>
        <v>95</v>
      </c>
      <c r="B127" s="455">
        <f>'Methane Leakage'!$C$5*(($D$6+$D$7-$D$8-$D$9)/($D$16+$D$17)+((('Calcs - Power'!C106+'Calcs - Power'!D106+'Calcs - Power'!E106+'Calcs - Power'!F106)*($D$10+$D$11-$D$12-$D$13-$D$14-$D$15))/((102*'Calcs - Power'!B106)*($D$16+$D$17))))</f>
        <v>2.0000000000000032E-2</v>
      </c>
      <c r="C127" s="455">
        <f>'Methane Leakage'!$G$5*((($J$6+$J$7-$J$8)/$J$13)+((('Calcs - Transp'!$C106+'Calcs - Transp'!$D106+'Calcs - Transp'!$E106+'Calcs - Transp'!$F106)*($J$9+$J$10-$J$11-$J$12))/((102*'Calcs - Transp'!$B106)*$J$13)))</f>
        <v>2.8000000000000014E-2</v>
      </c>
      <c r="D127" s="455">
        <f>'Methane Leakage'!$G$5*((($P$6+$P$7-$P$8)/$P$13)+((('Calcs - Transp'!$C106+'Calcs - Transp'!$D106+'Calcs - Transp'!$E106+'Calcs - Transp'!$F106)*($P$9+$P$10-$P$11-$P$12))/((102*'Calcs - Transp'!$B106)*$P$13)))</f>
        <v>2.8000000000000014E-2</v>
      </c>
    </row>
    <row r="128" spans="1:4" x14ac:dyDescent="0.3">
      <c r="A128" s="358">
        <f t="shared" si="5"/>
        <v>96</v>
      </c>
      <c r="B128" s="455">
        <f>'Methane Leakage'!$C$5*(($D$6+$D$7-$D$8-$D$9)/($D$16+$D$17)+((('Calcs - Power'!C107+'Calcs - Power'!D107+'Calcs - Power'!E107+'Calcs - Power'!F107)*($D$10+$D$11-$D$12-$D$13-$D$14-$D$15))/((102*'Calcs - Power'!B107)*($D$16+$D$17))))</f>
        <v>2.0000000000000032E-2</v>
      </c>
      <c r="C128" s="455">
        <f>'Methane Leakage'!$G$5*((($J$6+$J$7-$J$8)/$J$13)+((('Calcs - Transp'!$C107+'Calcs - Transp'!$D107+'Calcs - Transp'!$E107+'Calcs - Transp'!$F107)*($J$9+$J$10-$J$11-$J$12))/((102*'Calcs - Transp'!$B107)*$J$13)))</f>
        <v>2.8000000000000014E-2</v>
      </c>
      <c r="D128" s="455">
        <f>'Methane Leakage'!$G$5*((($P$6+$P$7-$P$8)/$P$13)+((('Calcs - Transp'!$C107+'Calcs - Transp'!$D107+'Calcs - Transp'!$E107+'Calcs - Transp'!$F107)*($P$9+$P$10-$P$11-$P$12))/((102*'Calcs - Transp'!$B107)*$P$13)))</f>
        <v>2.8000000000000014E-2</v>
      </c>
    </row>
    <row r="129" spans="1:4" x14ac:dyDescent="0.3">
      <c r="A129" s="358">
        <f t="shared" si="5"/>
        <v>97</v>
      </c>
      <c r="B129" s="455">
        <f>'Methane Leakage'!$C$5*(($D$6+$D$7-$D$8-$D$9)/($D$16+$D$17)+((('Calcs - Power'!C108+'Calcs - Power'!D108+'Calcs - Power'!E108+'Calcs - Power'!F108)*($D$10+$D$11-$D$12-$D$13-$D$14-$D$15))/((102*'Calcs - Power'!B108)*($D$16+$D$17))))</f>
        <v>2.0000000000000032E-2</v>
      </c>
      <c r="C129" s="455">
        <f>'Methane Leakage'!$G$5*((($J$6+$J$7-$J$8)/$J$13)+((('Calcs - Transp'!$C108+'Calcs - Transp'!$D108+'Calcs - Transp'!$E108+'Calcs - Transp'!$F108)*($J$9+$J$10-$J$11-$J$12))/((102*'Calcs - Transp'!$B108)*$J$13)))</f>
        <v>2.8000000000000014E-2</v>
      </c>
      <c r="D129" s="455">
        <f>'Methane Leakage'!$G$5*((($P$6+$P$7-$P$8)/$P$13)+((('Calcs - Transp'!$C108+'Calcs - Transp'!$D108+'Calcs - Transp'!$E108+'Calcs - Transp'!$F108)*($P$9+$P$10-$P$11-$P$12))/((102*'Calcs - Transp'!$B108)*$P$13)))</f>
        <v>2.8000000000000014E-2</v>
      </c>
    </row>
    <row r="130" spans="1:4" x14ac:dyDescent="0.3">
      <c r="A130" s="358">
        <f t="shared" si="5"/>
        <v>98</v>
      </c>
      <c r="B130" s="455">
        <f>'Methane Leakage'!$C$5*(($D$6+$D$7-$D$8-$D$9)/($D$16+$D$17)+((('Calcs - Power'!C109+'Calcs - Power'!D109+'Calcs - Power'!E109+'Calcs - Power'!F109)*($D$10+$D$11-$D$12-$D$13-$D$14-$D$15))/((102*'Calcs - Power'!B109)*($D$16+$D$17))))</f>
        <v>2.0000000000000035E-2</v>
      </c>
      <c r="C130" s="455">
        <f>'Methane Leakage'!$G$5*((($J$6+$J$7-$J$8)/$J$13)+((('Calcs - Transp'!$C109+'Calcs - Transp'!$D109+'Calcs - Transp'!$E109+'Calcs - Transp'!$F109)*($J$9+$J$10-$J$11-$J$12))/((102*'Calcs - Transp'!$B109)*$J$13)))</f>
        <v>2.8000000000000014E-2</v>
      </c>
      <c r="D130" s="455">
        <f>'Methane Leakage'!$G$5*((($P$6+$P$7-$P$8)/$P$13)+((('Calcs - Transp'!$C109+'Calcs - Transp'!$D109+'Calcs - Transp'!$E109+'Calcs - Transp'!$F109)*($P$9+$P$10-$P$11-$P$12))/((102*'Calcs - Transp'!$B109)*$P$13)))</f>
        <v>2.8000000000000014E-2</v>
      </c>
    </row>
    <row r="131" spans="1:4" x14ac:dyDescent="0.3">
      <c r="A131" s="358">
        <f t="shared" si="5"/>
        <v>99</v>
      </c>
      <c r="B131" s="455">
        <f>'Methane Leakage'!$C$5*(($D$6+$D$7-$D$8-$D$9)/($D$16+$D$17)+((('Calcs - Power'!C110+'Calcs - Power'!D110+'Calcs - Power'!E110+'Calcs - Power'!F110)*($D$10+$D$11-$D$12-$D$13-$D$14-$D$15))/((102*'Calcs - Power'!B110)*($D$16+$D$17))))</f>
        <v>2.0000000000000035E-2</v>
      </c>
      <c r="C131" s="455">
        <f>'Methane Leakage'!$G$5*((($J$6+$J$7-$J$8)/$J$13)+((('Calcs - Transp'!$C110+'Calcs - Transp'!$D110+'Calcs - Transp'!$E110+'Calcs - Transp'!$F110)*($J$9+$J$10-$J$11-$J$12))/((102*'Calcs - Transp'!$B110)*$J$13)))</f>
        <v>2.8000000000000014E-2</v>
      </c>
      <c r="D131" s="455">
        <f>'Methane Leakage'!$G$5*((($P$6+$P$7-$P$8)/$P$13)+((('Calcs - Transp'!$C110+'Calcs - Transp'!$D110+'Calcs - Transp'!$E110+'Calcs - Transp'!$F110)*($P$9+$P$10-$P$11-$P$12))/((102*'Calcs - Transp'!$B110)*$P$13)))</f>
        <v>2.8000000000000014E-2</v>
      </c>
    </row>
    <row r="132" spans="1:4" x14ac:dyDescent="0.3">
      <c r="A132" s="358">
        <f t="shared" si="5"/>
        <v>100</v>
      </c>
      <c r="B132" s="455">
        <f>'Methane Leakage'!$C$5*(($D$6+$D$7-$D$8-$D$9)/($D$16+$D$17)+((('Calcs - Power'!C111+'Calcs - Power'!D111+'Calcs - Power'!E111+'Calcs - Power'!F111)*($D$10+$D$11-$D$12-$D$13-$D$14-$D$15))/((102*'Calcs - Power'!B111)*($D$16+$D$17))))</f>
        <v>2.0000000000000035E-2</v>
      </c>
      <c r="C132" s="455">
        <f>'Methane Leakage'!$G$5*((($J$6+$J$7-$J$8)/$J$13)+((('Calcs - Transp'!$C111+'Calcs - Transp'!$D111+'Calcs - Transp'!$E111+'Calcs - Transp'!$F111)*($J$9+$J$10-$J$11-$J$12))/((102*'Calcs - Transp'!$B111)*$J$13)))</f>
        <v>2.8000000000000014E-2</v>
      </c>
      <c r="D132" s="455">
        <f>'Methane Leakage'!$G$5*((($P$6+$P$7-$P$8)/$P$13)+((('Calcs - Transp'!$C111+'Calcs - Transp'!$D111+'Calcs - Transp'!$E111+'Calcs - Transp'!$F111)*($P$9+$P$10-$P$11-$P$12))/((102*'Calcs - Transp'!$B111)*$P$13)))</f>
        <v>2.8000000000000014E-2</v>
      </c>
    </row>
    <row r="133" spans="1:4" x14ac:dyDescent="0.3">
      <c r="A133" s="358">
        <f t="shared" si="5"/>
        <v>101</v>
      </c>
      <c r="B133" s="455">
        <f>'Methane Leakage'!$C$5*(($D$6+$D$7-$D$8-$D$9)/($D$16+$D$17)+((('Calcs - Power'!C112+'Calcs - Power'!D112+'Calcs - Power'!E112+'Calcs - Power'!F112)*($D$10+$D$11-$D$12-$D$13-$D$14-$D$15))/((102*'Calcs - Power'!B112)*($D$16+$D$17))))</f>
        <v>2.0000000000000035E-2</v>
      </c>
      <c r="C133" s="455">
        <f>'Methane Leakage'!$G$5*((($J$6+$J$7-$J$8)/$J$13)+((('Calcs - Transp'!$C112+'Calcs - Transp'!$D112+'Calcs - Transp'!$E112+'Calcs - Transp'!$F112)*($J$9+$J$10-$J$11-$J$12))/((102*'Calcs - Transp'!$B112)*$J$13)))</f>
        <v>2.8000000000000014E-2</v>
      </c>
      <c r="D133" s="455">
        <f>'Methane Leakage'!$G$5*((($P$6+$P$7-$P$8)/$P$13)+((('Calcs - Transp'!$C112+'Calcs - Transp'!$D112+'Calcs - Transp'!$E112+'Calcs - Transp'!$F112)*($P$9+$P$10-$P$11-$P$12))/((102*'Calcs - Transp'!$B112)*$P$13)))</f>
        <v>2.8000000000000014E-2</v>
      </c>
    </row>
    <row r="134" spans="1:4" x14ac:dyDescent="0.3">
      <c r="A134" s="358">
        <f t="shared" si="5"/>
        <v>102</v>
      </c>
      <c r="B134" s="455">
        <f>'Methane Leakage'!$C$5*(($D$6+$D$7-$D$8-$D$9)/($D$16+$D$17)+((('Calcs - Power'!C113+'Calcs - Power'!D113+'Calcs - Power'!E113+'Calcs - Power'!F113)*($D$10+$D$11-$D$12-$D$13-$D$14-$D$15))/((102*'Calcs - Power'!B113)*($D$16+$D$17))))</f>
        <v>2.0000000000000035E-2</v>
      </c>
      <c r="C134" s="455">
        <f>'Methane Leakage'!$G$5*((($J$6+$J$7-$J$8)/$J$13)+((('Calcs - Transp'!$C113+'Calcs - Transp'!$D113+'Calcs - Transp'!$E113+'Calcs - Transp'!$F113)*($J$9+$J$10-$J$11-$J$12))/((102*'Calcs - Transp'!$B113)*$J$13)))</f>
        <v>2.8000000000000014E-2</v>
      </c>
      <c r="D134" s="455">
        <f>'Methane Leakage'!$G$5*((($P$6+$P$7-$P$8)/$P$13)+((('Calcs - Transp'!$C113+'Calcs - Transp'!$D113+'Calcs - Transp'!$E113+'Calcs - Transp'!$F113)*($P$9+$P$10-$P$11-$P$12))/((102*'Calcs - Transp'!$B113)*$P$13)))</f>
        <v>2.8000000000000014E-2</v>
      </c>
    </row>
    <row r="135" spans="1:4" x14ac:dyDescent="0.3">
      <c r="A135" s="358">
        <f t="shared" si="5"/>
        <v>103</v>
      </c>
      <c r="B135" s="455">
        <f>'Methane Leakage'!$C$5*(($D$6+$D$7-$D$8-$D$9)/($D$16+$D$17)+((('Calcs - Power'!C114+'Calcs - Power'!D114+'Calcs - Power'!E114+'Calcs - Power'!F114)*($D$10+$D$11-$D$12-$D$13-$D$14-$D$15))/((102*'Calcs - Power'!B114)*($D$16+$D$17))))</f>
        <v>2.0000000000000035E-2</v>
      </c>
      <c r="C135" s="455">
        <f>'Methane Leakage'!$G$5*((($J$6+$J$7-$J$8)/$J$13)+((('Calcs - Transp'!$C114+'Calcs - Transp'!$D114+'Calcs - Transp'!$E114+'Calcs - Transp'!$F114)*($J$9+$J$10-$J$11-$J$12))/((102*'Calcs - Transp'!$B114)*$J$13)))</f>
        <v>2.8000000000000014E-2</v>
      </c>
      <c r="D135" s="455">
        <f>'Methane Leakage'!$G$5*((($P$6+$P$7-$P$8)/$P$13)+((('Calcs - Transp'!$C114+'Calcs - Transp'!$D114+'Calcs - Transp'!$E114+'Calcs - Transp'!$F114)*($P$9+$P$10-$P$11-$P$12))/((102*'Calcs - Transp'!$B114)*$P$13)))</f>
        <v>2.8000000000000014E-2</v>
      </c>
    </row>
    <row r="136" spans="1:4" x14ac:dyDescent="0.3">
      <c r="A136" s="358">
        <f t="shared" si="5"/>
        <v>104</v>
      </c>
      <c r="B136" s="455">
        <f>'Methane Leakage'!$C$5*(($D$6+$D$7-$D$8-$D$9)/($D$16+$D$17)+((('Calcs - Power'!C115+'Calcs - Power'!D115+'Calcs - Power'!E115+'Calcs - Power'!F115)*($D$10+$D$11-$D$12-$D$13-$D$14-$D$15))/((102*'Calcs - Power'!B115)*($D$16+$D$17))))</f>
        <v>2.0000000000000035E-2</v>
      </c>
      <c r="C136" s="455">
        <f>'Methane Leakage'!$G$5*((($J$6+$J$7-$J$8)/$J$13)+((('Calcs - Transp'!$C115+'Calcs - Transp'!$D115+'Calcs - Transp'!$E115+'Calcs - Transp'!$F115)*($J$9+$J$10-$J$11-$J$12))/((102*'Calcs - Transp'!$B115)*$J$13)))</f>
        <v>2.8000000000000014E-2</v>
      </c>
      <c r="D136" s="455">
        <f>'Methane Leakage'!$G$5*((($P$6+$P$7-$P$8)/$P$13)+((('Calcs - Transp'!$C115+'Calcs - Transp'!$D115+'Calcs - Transp'!$E115+'Calcs - Transp'!$F115)*($P$9+$P$10-$P$11-$P$12))/((102*'Calcs - Transp'!$B115)*$P$13)))</f>
        <v>2.8000000000000014E-2</v>
      </c>
    </row>
    <row r="137" spans="1:4" x14ac:dyDescent="0.3">
      <c r="A137" s="358">
        <f t="shared" si="5"/>
        <v>105</v>
      </c>
      <c r="B137" s="455">
        <f>'Methane Leakage'!$C$5*(($D$6+$D$7-$D$8-$D$9)/($D$16+$D$17)+((('Calcs - Power'!C116+'Calcs - Power'!D116+'Calcs - Power'!E116+'Calcs - Power'!F116)*($D$10+$D$11-$D$12-$D$13-$D$14-$D$15))/((102*'Calcs - Power'!B116)*($D$16+$D$17))))</f>
        <v>2.0000000000000035E-2</v>
      </c>
      <c r="C137" s="455">
        <f>'Methane Leakage'!$G$5*((($J$6+$J$7-$J$8)/$J$13)+((('Calcs - Transp'!$C116+'Calcs - Transp'!$D116+'Calcs - Transp'!$E116+'Calcs - Transp'!$F116)*($J$9+$J$10-$J$11-$J$12))/((102*'Calcs - Transp'!$B116)*$J$13)))</f>
        <v>2.8000000000000014E-2</v>
      </c>
      <c r="D137" s="455">
        <f>'Methane Leakage'!$G$5*((($P$6+$P$7-$P$8)/$P$13)+((('Calcs - Transp'!$C116+'Calcs - Transp'!$D116+'Calcs - Transp'!$E116+'Calcs - Transp'!$F116)*($P$9+$P$10-$P$11-$P$12))/((102*'Calcs - Transp'!$B116)*$P$13)))</f>
        <v>2.8000000000000014E-2</v>
      </c>
    </row>
    <row r="138" spans="1:4" x14ac:dyDescent="0.3">
      <c r="A138" s="358">
        <f t="shared" si="5"/>
        <v>106</v>
      </c>
      <c r="B138" s="455">
        <f>'Methane Leakage'!$C$5*(($D$6+$D$7-$D$8-$D$9)/($D$16+$D$17)+((('Calcs - Power'!C117+'Calcs - Power'!D117+'Calcs - Power'!E117+'Calcs - Power'!F117)*($D$10+$D$11-$D$12-$D$13-$D$14-$D$15))/((102*'Calcs - Power'!B117)*($D$16+$D$17))))</f>
        <v>2.0000000000000035E-2</v>
      </c>
      <c r="C138" s="455">
        <f>'Methane Leakage'!$G$5*((($J$6+$J$7-$J$8)/$J$13)+((('Calcs - Transp'!$C117+'Calcs - Transp'!$D117+'Calcs - Transp'!$E117+'Calcs - Transp'!$F117)*($J$9+$J$10-$J$11-$J$12))/((102*'Calcs - Transp'!$B117)*$J$13)))</f>
        <v>2.8000000000000014E-2</v>
      </c>
      <c r="D138" s="455">
        <f>'Methane Leakage'!$G$5*((($P$6+$P$7-$P$8)/$P$13)+((('Calcs - Transp'!$C117+'Calcs - Transp'!$D117+'Calcs - Transp'!$E117+'Calcs - Transp'!$F117)*($P$9+$P$10-$P$11-$P$12))/((102*'Calcs - Transp'!$B117)*$P$13)))</f>
        <v>2.8000000000000014E-2</v>
      </c>
    </row>
    <row r="139" spans="1:4" x14ac:dyDescent="0.3">
      <c r="A139" s="358">
        <f t="shared" si="5"/>
        <v>107</v>
      </c>
      <c r="B139" s="455">
        <f>'Methane Leakage'!$C$5*(($D$6+$D$7-$D$8-$D$9)/($D$16+$D$17)+((('Calcs - Power'!C118+'Calcs - Power'!D118+'Calcs - Power'!E118+'Calcs - Power'!F118)*($D$10+$D$11-$D$12-$D$13-$D$14-$D$15))/((102*'Calcs - Power'!B118)*($D$16+$D$17))))</f>
        <v>2.0000000000000035E-2</v>
      </c>
      <c r="C139" s="455">
        <f>'Methane Leakage'!$G$5*((($J$6+$J$7-$J$8)/$J$13)+((('Calcs - Transp'!$C118+'Calcs - Transp'!$D118+'Calcs - Transp'!$E118+'Calcs - Transp'!$F118)*($J$9+$J$10-$J$11-$J$12))/((102*'Calcs - Transp'!$B118)*$J$13)))</f>
        <v>2.8000000000000014E-2</v>
      </c>
      <c r="D139" s="455">
        <f>'Methane Leakage'!$G$5*((($P$6+$P$7-$P$8)/$P$13)+((('Calcs - Transp'!$C118+'Calcs - Transp'!$D118+'Calcs - Transp'!$E118+'Calcs - Transp'!$F118)*($P$9+$P$10-$P$11-$P$12))/((102*'Calcs - Transp'!$B118)*$P$13)))</f>
        <v>2.8000000000000014E-2</v>
      </c>
    </row>
    <row r="140" spans="1:4" x14ac:dyDescent="0.3">
      <c r="A140" s="358">
        <f t="shared" si="5"/>
        <v>108</v>
      </c>
      <c r="B140" s="455">
        <f>'Methane Leakage'!$C$5*(($D$6+$D$7-$D$8-$D$9)/($D$16+$D$17)+((('Calcs - Power'!C119+'Calcs - Power'!D119+'Calcs - Power'!E119+'Calcs - Power'!F119)*($D$10+$D$11-$D$12-$D$13-$D$14-$D$15))/((102*'Calcs - Power'!B119)*($D$16+$D$17))))</f>
        <v>2.0000000000000035E-2</v>
      </c>
      <c r="C140" s="455">
        <f>'Methane Leakage'!$G$5*((($J$6+$J$7-$J$8)/$J$13)+((('Calcs - Transp'!$C119+'Calcs - Transp'!$D119+'Calcs - Transp'!$E119+'Calcs - Transp'!$F119)*($J$9+$J$10-$J$11-$J$12))/((102*'Calcs - Transp'!$B119)*$J$13)))</f>
        <v>2.8000000000000014E-2</v>
      </c>
      <c r="D140" s="455">
        <f>'Methane Leakage'!$G$5*((($P$6+$P$7-$P$8)/$P$13)+((('Calcs - Transp'!$C119+'Calcs - Transp'!$D119+'Calcs - Transp'!$E119+'Calcs - Transp'!$F119)*($P$9+$P$10-$P$11-$P$12))/((102*'Calcs - Transp'!$B119)*$P$13)))</f>
        <v>2.8000000000000014E-2</v>
      </c>
    </row>
    <row r="141" spans="1:4" x14ac:dyDescent="0.3">
      <c r="A141" s="358">
        <f t="shared" si="5"/>
        <v>109</v>
      </c>
      <c r="B141" s="455">
        <f>'Methane Leakage'!$C$5*(($D$6+$D$7-$D$8-$D$9)/($D$16+$D$17)+((('Calcs - Power'!C120+'Calcs - Power'!D120+'Calcs - Power'!E120+'Calcs - Power'!F120)*($D$10+$D$11-$D$12-$D$13-$D$14-$D$15))/((102*'Calcs - Power'!B120)*($D$16+$D$17))))</f>
        <v>2.0000000000000035E-2</v>
      </c>
      <c r="C141" s="455">
        <f>'Methane Leakage'!$G$5*((($J$6+$J$7-$J$8)/$J$13)+((('Calcs - Transp'!$C120+'Calcs - Transp'!$D120+'Calcs - Transp'!$E120+'Calcs - Transp'!$F120)*($J$9+$J$10-$J$11-$J$12))/((102*'Calcs - Transp'!$B120)*$J$13)))</f>
        <v>2.8000000000000014E-2</v>
      </c>
      <c r="D141" s="455">
        <f>'Methane Leakage'!$G$5*((($P$6+$P$7-$P$8)/$P$13)+((('Calcs - Transp'!$C120+'Calcs - Transp'!$D120+'Calcs - Transp'!$E120+'Calcs - Transp'!$F120)*($P$9+$P$10-$P$11-$P$12))/((102*'Calcs - Transp'!$B120)*$P$13)))</f>
        <v>2.8000000000000014E-2</v>
      </c>
    </row>
    <row r="142" spans="1:4" x14ac:dyDescent="0.3">
      <c r="A142" s="358">
        <f t="shared" si="5"/>
        <v>110</v>
      </c>
      <c r="B142" s="455">
        <f>'Methane Leakage'!$C$5*(($D$6+$D$7-$D$8-$D$9)/($D$16+$D$17)+((('Calcs - Power'!C121+'Calcs - Power'!D121+'Calcs - Power'!E121+'Calcs - Power'!F121)*($D$10+$D$11-$D$12-$D$13-$D$14-$D$15))/((102*'Calcs - Power'!B121)*($D$16+$D$17))))</f>
        <v>2.0000000000000035E-2</v>
      </c>
      <c r="C142" s="455">
        <f>'Methane Leakage'!$G$5*((($J$6+$J$7-$J$8)/$J$13)+((('Calcs - Transp'!$C121+'Calcs - Transp'!$D121+'Calcs - Transp'!$E121+'Calcs - Transp'!$F121)*($J$9+$J$10-$J$11-$J$12))/((102*'Calcs - Transp'!$B121)*$J$13)))</f>
        <v>2.8000000000000014E-2</v>
      </c>
      <c r="D142" s="455">
        <f>'Methane Leakage'!$G$5*((($P$6+$P$7-$P$8)/$P$13)+((('Calcs - Transp'!$C121+'Calcs - Transp'!$D121+'Calcs - Transp'!$E121+'Calcs - Transp'!$F121)*($P$9+$P$10-$P$11-$P$12))/((102*'Calcs - Transp'!$B121)*$P$13)))</f>
        <v>2.8000000000000014E-2</v>
      </c>
    </row>
    <row r="143" spans="1:4" x14ac:dyDescent="0.3">
      <c r="A143" s="358">
        <f t="shared" si="5"/>
        <v>111</v>
      </c>
      <c r="B143" s="455">
        <f>'Methane Leakage'!$C$5*(($D$6+$D$7-$D$8-$D$9)/($D$16+$D$17)+((('Calcs - Power'!C122+'Calcs - Power'!D122+'Calcs - Power'!E122+'Calcs - Power'!F122)*($D$10+$D$11-$D$12-$D$13-$D$14-$D$15))/((102*'Calcs - Power'!B122)*($D$16+$D$17))))</f>
        <v>2.0000000000000035E-2</v>
      </c>
      <c r="C143" s="455">
        <f>'Methane Leakage'!$G$5*((($J$6+$J$7-$J$8)/$J$13)+((('Calcs - Transp'!$C122+'Calcs - Transp'!$D122+'Calcs - Transp'!$E122+'Calcs - Transp'!$F122)*($J$9+$J$10-$J$11-$J$12))/((102*'Calcs - Transp'!$B122)*$J$13)))</f>
        <v>2.8000000000000014E-2</v>
      </c>
      <c r="D143" s="455">
        <f>'Methane Leakage'!$G$5*((($P$6+$P$7-$P$8)/$P$13)+((('Calcs - Transp'!$C122+'Calcs - Transp'!$D122+'Calcs - Transp'!$E122+'Calcs - Transp'!$F122)*($P$9+$P$10-$P$11-$P$12))/((102*'Calcs - Transp'!$B122)*$P$13)))</f>
        <v>2.8000000000000014E-2</v>
      </c>
    </row>
    <row r="144" spans="1:4" x14ac:dyDescent="0.3">
      <c r="A144" s="358">
        <f t="shared" si="5"/>
        <v>112</v>
      </c>
      <c r="B144" s="455">
        <f>'Methane Leakage'!$C$5*(($D$6+$D$7-$D$8-$D$9)/($D$16+$D$17)+((('Calcs - Power'!C123+'Calcs - Power'!D123+'Calcs - Power'!E123+'Calcs - Power'!F123)*($D$10+$D$11-$D$12-$D$13-$D$14-$D$15))/((102*'Calcs - Power'!B123)*($D$16+$D$17))))</f>
        <v>2.0000000000000035E-2</v>
      </c>
      <c r="C144" s="455">
        <f>'Methane Leakage'!$G$5*((($J$6+$J$7-$J$8)/$J$13)+((('Calcs - Transp'!$C123+'Calcs - Transp'!$D123+'Calcs - Transp'!$E123+'Calcs - Transp'!$F123)*($J$9+$J$10-$J$11-$J$12))/((102*'Calcs - Transp'!$B123)*$J$13)))</f>
        <v>2.8000000000000014E-2</v>
      </c>
      <c r="D144" s="455">
        <f>'Methane Leakage'!$G$5*((($P$6+$P$7-$P$8)/$P$13)+((('Calcs - Transp'!$C123+'Calcs - Transp'!$D123+'Calcs - Transp'!$E123+'Calcs - Transp'!$F123)*($P$9+$P$10-$P$11-$P$12))/((102*'Calcs - Transp'!$B123)*$P$13)))</f>
        <v>2.8000000000000014E-2</v>
      </c>
    </row>
    <row r="145" spans="1:4" x14ac:dyDescent="0.3">
      <c r="A145" s="358">
        <f t="shared" si="5"/>
        <v>113</v>
      </c>
      <c r="B145" s="455">
        <f>'Methane Leakage'!$C$5*(($D$6+$D$7-$D$8-$D$9)/($D$16+$D$17)+((('Calcs - Power'!C124+'Calcs - Power'!D124+'Calcs - Power'!E124+'Calcs - Power'!F124)*($D$10+$D$11-$D$12-$D$13-$D$14-$D$15))/((102*'Calcs - Power'!B124)*($D$16+$D$17))))</f>
        <v>2.0000000000000035E-2</v>
      </c>
      <c r="C145" s="455">
        <f>'Methane Leakage'!$G$5*((($J$6+$J$7-$J$8)/$J$13)+((('Calcs - Transp'!$C124+'Calcs - Transp'!$D124+'Calcs - Transp'!$E124+'Calcs - Transp'!$F124)*($J$9+$J$10-$J$11-$J$12))/((102*'Calcs - Transp'!$B124)*$J$13)))</f>
        <v>2.8000000000000014E-2</v>
      </c>
      <c r="D145" s="455">
        <f>'Methane Leakage'!$G$5*((($P$6+$P$7-$P$8)/$P$13)+((('Calcs - Transp'!$C124+'Calcs - Transp'!$D124+'Calcs - Transp'!$E124+'Calcs - Transp'!$F124)*($P$9+$P$10-$P$11-$P$12))/((102*'Calcs - Transp'!$B124)*$P$13)))</f>
        <v>2.8000000000000014E-2</v>
      </c>
    </row>
    <row r="146" spans="1:4" x14ac:dyDescent="0.3">
      <c r="A146" s="358">
        <f t="shared" si="5"/>
        <v>114</v>
      </c>
      <c r="B146" s="455">
        <f>'Methane Leakage'!$C$5*(($D$6+$D$7-$D$8-$D$9)/($D$16+$D$17)+((('Calcs - Power'!C125+'Calcs - Power'!D125+'Calcs - Power'!E125+'Calcs - Power'!F125)*($D$10+$D$11-$D$12-$D$13-$D$14-$D$15))/((102*'Calcs - Power'!B125)*($D$16+$D$17))))</f>
        <v>2.0000000000000035E-2</v>
      </c>
      <c r="C146" s="455">
        <f>'Methane Leakage'!$G$5*((($J$6+$J$7-$J$8)/$J$13)+((('Calcs - Transp'!$C125+'Calcs - Transp'!$D125+'Calcs - Transp'!$E125+'Calcs - Transp'!$F125)*($J$9+$J$10-$J$11-$J$12))/((102*'Calcs - Transp'!$B125)*$J$13)))</f>
        <v>2.8000000000000014E-2</v>
      </c>
      <c r="D146" s="455">
        <f>'Methane Leakage'!$G$5*((($P$6+$P$7-$P$8)/$P$13)+((('Calcs - Transp'!$C125+'Calcs - Transp'!$D125+'Calcs - Transp'!$E125+'Calcs - Transp'!$F125)*($P$9+$P$10-$P$11-$P$12))/((102*'Calcs - Transp'!$B125)*$P$13)))</f>
        <v>2.8000000000000014E-2</v>
      </c>
    </row>
    <row r="147" spans="1:4" x14ac:dyDescent="0.3">
      <c r="A147" s="358">
        <f t="shared" si="5"/>
        <v>115</v>
      </c>
      <c r="B147" s="455">
        <f>'Methane Leakage'!$C$5*(($D$6+$D$7-$D$8-$D$9)/($D$16+$D$17)+((('Calcs - Power'!C126+'Calcs - Power'!D126+'Calcs - Power'!E126+'Calcs - Power'!F126)*($D$10+$D$11-$D$12-$D$13-$D$14-$D$15))/((102*'Calcs - Power'!B126)*($D$16+$D$17))))</f>
        <v>2.0000000000000035E-2</v>
      </c>
      <c r="C147" s="455">
        <f>'Methane Leakage'!$G$5*((($J$6+$J$7-$J$8)/$J$13)+((('Calcs - Transp'!$C126+'Calcs - Transp'!$D126+'Calcs - Transp'!$E126+'Calcs - Transp'!$F126)*($J$9+$J$10-$J$11-$J$12))/((102*'Calcs - Transp'!$B126)*$J$13)))</f>
        <v>2.8000000000000014E-2</v>
      </c>
      <c r="D147" s="455">
        <f>'Methane Leakage'!$G$5*((($P$6+$P$7-$P$8)/$P$13)+((('Calcs - Transp'!$C126+'Calcs - Transp'!$D126+'Calcs - Transp'!$E126+'Calcs - Transp'!$F126)*($P$9+$P$10-$P$11-$P$12))/((102*'Calcs - Transp'!$B126)*$P$13)))</f>
        <v>2.8000000000000014E-2</v>
      </c>
    </row>
    <row r="148" spans="1:4" x14ac:dyDescent="0.3">
      <c r="A148" s="358">
        <f t="shared" si="5"/>
        <v>116</v>
      </c>
      <c r="B148" s="455">
        <f>'Methane Leakage'!$C$5*(($D$6+$D$7-$D$8-$D$9)/($D$16+$D$17)+((('Calcs - Power'!C127+'Calcs - Power'!D127+'Calcs - Power'!E127+'Calcs - Power'!F127)*($D$10+$D$11-$D$12-$D$13-$D$14-$D$15))/((102*'Calcs - Power'!B127)*($D$16+$D$17))))</f>
        <v>2.0000000000000035E-2</v>
      </c>
      <c r="C148" s="455">
        <f>'Methane Leakage'!$G$5*((($J$6+$J$7-$J$8)/$J$13)+((('Calcs - Transp'!$C127+'Calcs - Transp'!$D127+'Calcs - Transp'!$E127+'Calcs - Transp'!$F127)*($J$9+$J$10-$J$11-$J$12))/((102*'Calcs - Transp'!$B127)*$J$13)))</f>
        <v>2.8000000000000014E-2</v>
      </c>
      <c r="D148" s="455">
        <f>'Methane Leakage'!$G$5*((($P$6+$P$7-$P$8)/$P$13)+((('Calcs - Transp'!$C127+'Calcs - Transp'!$D127+'Calcs - Transp'!$E127+'Calcs - Transp'!$F127)*($P$9+$P$10-$P$11-$P$12))/((102*'Calcs - Transp'!$B127)*$P$13)))</f>
        <v>2.8000000000000014E-2</v>
      </c>
    </row>
    <row r="149" spans="1:4" x14ac:dyDescent="0.3">
      <c r="A149" s="358">
        <f t="shared" si="5"/>
        <v>117</v>
      </c>
      <c r="B149" s="455">
        <f>'Methane Leakage'!$C$5*(($D$6+$D$7-$D$8-$D$9)/($D$16+$D$17)+((('Calcs - Power'!C128+'Calcs - Power'!D128+'Calcs - Power'!E128+'Calcs - Power'!F128)*($D$10+$D$11-$D$12-$D$13-$D$14-$D$15))/((102*'Calcs - Power'!B128)*($D$16+$D$17))))</f>
        <v>2.0000000000000042E-2</v>
      </c>
      <c r="C149" s="455">
        <f>'Methane Leakage'!$G$5*((($J$6+$J$7-$J$8)/$J$13)+((('Calcs - Transp'!$C128+'Calcs - Transp'!$D128+'Calcs - Transp'!$E128+'Calcs - Transp'!$F128)*($J$9+$J$10-$J$11-$J$12))/((102*'Calcs - Transp'!$B128)*$J$13)))</f>
        <v>2.8000000000000014E-2</v>
      </c>
      <c r="D149" s="455">
        <f>'Methane Leakage'!$G$5*((($P$6+$P$7-$P$8)/$P$13)+((('Calcs - Transp'!$C128+'Calcs - Transp'!$D128+'Calcs - Transp'!$E128+'Calcs - Transp'!$F128)*($P$9+$P$10-$P$11-$P$12))/((102*'Calcs - Transp'!$B128)*$P$13)))</f>
        <v>2.8000000000000014E-2</v>
      </c>
    </row>
    <row r="150" spans="1:4" x14ac:dyDescent="0.3">
      <c r="A150" s="358">
        <f t="shared" si="5"/>
        <v>118</v>
      </c>
      <c r="B150" s="455">
        <f>'Methane Leakage'!$C$5*(($D$6+$D$7-$D$8-$D$9)/($D$16+$D$17)+((('Calcs - Power'!C129+'Calcs - Power'!D129+'Calcs - Power'!E129+'Calcs - Power'!F129)*($D$10+$D$11-$D$12-$D$13-$D$14-$D$15))/((102*'Calcs - Power'!B129)*($D$16+$D$17))))</f>
        <v>2.0000000000000042E-2</v>
      </c>
      <c r="C150" s="455">
        <f>'Methane Leakage'!$G$5*((($J$6+$J$7-$J$8)/$J$13)+((('Calcs - Transp'!$C129+'Calcs - Transp'!$D129+'Calcs - Transp'!$E129+'Calcs - Transp'!$F129)*($J$9+$J$10-$J$11-$J$12))/((102*'Calcs - Transp'!$B129)*$J$13)))</f>
        <v>2.8000000000000014E-2</v>
      </c>
      <c r="D150" s="455">
        <f>'Methane Leakage'!$G$5*((($P$6+$P$7-$P$8)/$P$13)+((('Calcs - Transp'!$C129+'Calcs - Transp'!$D129+'Calcs - Transp'!$E129+'Calcs - Transp'!$F129)*($P$9+$P$10-$P$11-$P$12))/((102*'Calcs - Transp'!$B129)*$P$13)))</f>
        <v>2.8000000000000014E-2</v>
      </c>
    </row>
    <row r="151" spans="1:4" x14ac:dyDescent="0.3">
      <c r="A151" s="358">
        <f t="shared" si="5"/>
        <v>119</v>
      </c>
      <c r="B151" s="455">
        <f>'Methane Leakage'!$C$5*(($D$6+$D$7-$D$8-$D$9)/($D$16+$D$17)+((('Calcs - Power'!C130+'Calcs - Power'!D130+'Calcs - Power'!E130+'Calcs - Power'!F130)*($D$10+$D$11-$D$12-$D$13-$D$14-$D$15))/((102*'Calcs - Power'!B130)*($D$16+$D$17))))</f>
        <v>2.0000000000000042E-2</v>
      </c>
      <c r="C151" s="455">
        <f>'Methane Leakage'!$G$5*((($J$6+$J$7-$J$8)/$J$13)+((('Calcs - Transp'!$C130+'Calcs - Transp'!$D130+'Calcs - Transp'!$E130+'Calcs - Transp'!$F130)*($J$9+$J$10-$J$11-$J$12))/((102*'Calcs - Transp'!$B130)*$J$13)))</f>
        <v>2.8000000000000014E-2</v>
      </c>
      <c r="D151" s="455">
        <f>'Methane Leakage'!$G$5*((($P$6+$P$7-$P$8)/$P$13)+((('Calcs - Transp'!$C130+'Calcs - Transp'!$D130+'Calcs - Transp'!$E130+'Calcs - Transp'!$F130)*($P$9+$P$10-$P$11-$P$12))/((102*'Calcs - Transp'!$B130)*$P$13)))</f>
        <v>2.8000000000000014E-2</v>
      </c>
    </row>
    <row r="152" spans="1:4" x14ac:dyDescent="0.3">
      <c r="A152" s="358">
        <f t="shared" si="5"/>
        <v>120</v>
      </c>
      <c r="B152" s="455">
        <f>'Methane Leakage'!$C$5*(($D$6+$D$7-$D$8-$D$9)/($D$16+$D$17)+((('Calcs - Power'!C131+'Calcs - Power'!D131+'Calcs - Power'!E131+'Calcs - Power'!F131)*($D$10+$D$11-$D$12-$D$13-$D$14-$D$15))/((102*'Calcs - Power'!B131)*($D$16+$D$17))))</f>
        <v>2.0000000000000042E-2</v>
      </c>
      <c r="C152" s="455">
        <f>'Methane Leakage'!$G$5*((($J$6+$J$7-$J$8)/$J$13)+((('Calcs - Transp'!$C131+'Calcs - Transp'!$D131+'Calcs - Transp'!$E131+'Calcs - Transp'!$F131)*($J$9+$J$10-$J$11-$J$12))/((102*'Calcs - Transp'!$B131)*$J$13)))</f>
        <v>2.8000000000000014E-2</v>
      </c>
      <c r="D152" s="455">
        <f>'Methane Leakage'!$G$5*((($P$6+$P$7-$P$8)/$P$13)+((('Calcs - Transp'!$C131+'Calcs - Transp'!$D131+'Calcs - Transp'!$E131+'Calcs - Transp'!$F131)*($P$9+$P$10-$P$11-$P$12))/((102*'Calcs - Transp'!$B131)*$P$13)))</f>
        <v>2.8000000000000014E-2</v>
      </c>
    </row>
    <row r="153" spans="1:4" x14ac:dyDescent="0.3">
      <c r="A153" s="358">
        <f t="shared" si="5"/>
        <v>121</v>
      </c>
      <c r="B153" s="455">
        <f>'Methane Leakage'!$C$5*(($D$6+$D$7-$D$8-$D$9)/($D$16+$D$17)+((('Calcs - Power'!C132+'Calcs - Power'!D132+'Calcs - Power'!E132+'Calcs - Power'!F132)*($D$10+$D$11-$D$12-$D$13-$D$14-$D$15))/((102*'Calcs - Power'!B132)*($D$16+$D$17))))</f>
        <v>2.0000000000000042E-2</v>
      </c>
      <c r="C153" s="455">
        <f>'Methane Leakage'!$G$5*((($J$6+$J$7-$J$8)/$J$13)+((('Calcs - Transp'!$C132+'Calcs - Transp'!$D132+'Calcs - Transp'!$E132+'Calcs - Transp'!$F132)*($J$9+$J$10-$J$11-$J$12))/((102*'Calcs - Transp'!$B132)*$J$13)))</f>
        <v>2.8000000000000014E-2</v>
      </c>
      <c r="D153" s="455">
        <f>'Methane Leakage'!$G$5*((($P$6+$P$7-$P$8)/$P$13)+((('Calcs - Transp'!$C132+'Calcs - Transp'!$D132+'Calcs - Transp'!$E132+'Calcs - Transp'!$F132)*($P$9+$P$10-$P$11-$P$12))/((102*'Calcs - Transp'!$B132)*$P$13)))</f>
        <v>2.8000000000000014E-2</v>
      </c>
    </row>
    <row r="154" spans="1:4" x14ac:dyDescent="0.3">
      <c r="A154" s="358">
        <f t="shared" si="5"/>
        <v>122</v>
      </c>
      <c r="B154" s="455">
        <f>'Methane Leakage'!$C$5*(($D$6+$D$7-$D$8-$D$9)/($D$16+$D$17)+((('Calcs - Power'!C133+'Calcs - Power'!D133+'Calcs - Power'!E133+'Calcs - Power'!F133)*($D$10+$D$11-$D$12-$D$13-$D$14-$D$15))/((102*'Calcs - Power'!B133)*($D$16+$D$17))))</f>
        <v>2.0000000000000042E-2</v>
      </c>
      <c r="C154" s="455">
        <f>'Methane Leakage'!$G$5*((($J$6+$J$7-$J$8)/$J$13)+((('Calcs - Transp'!$C133+'Calcs - Transp'!$D133+'Calcs - Transp'!$E133+'Calcs - Transp'!$F133)*($J$9+$J$10-$J$11-$J$12))/((102*'Calcs - Transp'!$B133)*$J$13)))</f>
        <v>2.8000000000000014E-2</v>
      </c>
      <c r="D154" s="455">
        <f>'Methane Leakage'!$G$5*((($P$6+$P$7-$P$8)/$P$13)+((('Calcs - Transp'!$C133+'Calcs - Transp'!$D133+'Calcs - Transp'!$E133+'Calcs - Transp'!$F133)*($P$9+$P$10-$P$11-$P$12))/((102*'Calcs - Transp'!$B133)*$P$13)))</f>
        <v>2.8000000000000014E-2</v>
      </c>
    </row>
    <row r="155" spans="1:4" x14ac:dyDescent="0.3">
      <c r="A155" s="358">
        <f t="shared" si="5"/>
        <v>123</v>
      </c>
      <c r="B155" s="455">
        <f>'Methane Leakage'!$C$5*(($D$6+$D$7-$D$8-$D$9)/($D$16+$D$17)+((('Calcs - Power'!C134+'Calcs - Power'!D134+'Calcs - Power'!E134+'Calcs - Power'!F134)*($D$10+$D$11-$D$12-$D$13-$D$14-$D$15))/((102*'Calcs - Power'!B134)*($D$16+$D$17))))</f>
        <v>2.0000000000000042E-2</v>
      </c>
      <c r="C155" s="455">
        <f>'Methane Leakage'!$G$5*((($J$6+$J$7-$J$8)/$J$13)+((('Calcs - Transp'!$C134+'Calcs - Transp'!$D134+'Calcs - Transp'!$E134+'Calcs - Transp'!$F134)*($J$9+$J$10-$J$11-$J$12))/((102*'Calcs - Transp'!$B134)*$J$13)))</f>
        <v>2.8000000000000014E-2</v>
      </c>
      <c r="D155" s="455">
        <f>'Methane Leakage'!$G$5*((($P$6+$P$7-$P$8)/$P$13)+((('Calcs - Transp'!$C134+'Calcs - Transp'!$D134+'Calcs - Transp'!$E134+'Calcs - Transp'!$F134)*($P$9+$P$10-$P$11-$P$12))/((102*'Calcs - Transp'!$B134)*$P$13)))</f>
        <v>2.8000000000000014E-2</v>
      </c>
    </row>
    <row r="156" spans="1:4" x14ac:dyDescent="0.3">
      <c r="A156" s="358">
        <f t="shared" si="5"/>
        <v>124</v>
      </c>
      <c r="B156" s="455">
        <f>'Methane Leakage'!$C$5*(($D$6+$D$7-$D$8-$D$9)/($D$16+$D$17)+((('Calcs - Power'!C135+'Calcs - Power'!D135+'Calcs - Power'!E135+'Calcs - Power'!F135)*($D$10+$D$11-$D$12-$D$13-$D$14-$D$15))/((102*'Calcs - Power'!B135)*($D$16+$D$17))))</f>
        <v>2.0000000000000042E-2</v>
      </c>
      <c r="C156" s="455">
        <f>'Methane Leakage'!$G$5*((($J$6+$J$7-$J$8)/$J$13)+((('Calcs - Transp'!$C135+'Calcs - Transp'!$D135+'Calcs - Transp'!$E135+'Calcs - Transp'!$F135)*($J$9+$J$10-$J$11-$J$12))/((102*'Calcs - Transp'!$B135)*$J$13)))</f>
        <v>2.8000000000000014E-2</v>
      </c>
      <c r="D156" s="455">
        <f>'Methane Leakage'!$G$5*((($P$6+$P$7-$P$8)/$P$13)+((('Calcs - Transp'!$C135+'Calcs - Transp'!$D135+'Calcs - Transp'!$E135+'Calcs - Transp'!$F135)*($P$9+$P$10-$P$11-$P$12))/((102*'Calcs - Transp'!$B135)*$P$13)))</f>
        <v>2.8000000000000014E-2</v>
      </c>
    </row>
    <row r="157" spans="1:4" x14ac:dyDescent="0.3">
      <c r="A157" s="358">
        <f t="shared" si="5"/>
        <v>125</v>
      </c>
      <c r="B157" s="455">
        <f>'Methane Leakage'!$C$5*(($D$6+$D$7-$D$8-$D$9)/($D$16+$D$17)+((('Calcs - Power'!C136+'Calcs - Power'!D136+'Calcs - Power'!E136+'Calcs - Power'!F136)*($D$10+$D$11-$D$12-$D$13-$D$14-$D$15))/((102*'Calcs - Power'!B136)*($D$16+$D$17))))</f>
        <v>2.0000000000000042E-2</v>
      </c>
      <c r="C157" s="455">
        <f>'Methane Leakage'!$G$5*((($J$6+$J$7-$J$8)/$J$13)+((('Calcs - Transp'!$C136+'Calcs - Transp'!$D136+'Calcs - Transp'!$E136+'Calcs - Transp'!$F136)*($J$9+$J$10-$J$11-$J$12))/((102*'Calcs - Transp'!$B136)*$J$13)))</f>
        <v>2.8000000000000014E-2</v>
      </c>
      <c r="D157" s="455">
        <f>'Methane Leakage'!$G$5*((($P$6+$P$7-$P$8)/$P$13)+((('Calcs - Transp'!$C136+'Calcs - Transp'!$D136+'Calcs - Transp'!$E136+'Calcs - Transp'!$F136)*($P$9+$P$10-$P$11-$P$12))/((102*'Calcs - Transp'!$B136)*$P$13)))</f>
        <v>2.8000000000000014E-2</v>
      </c>
    </row>
    <row r="158" spans="1:4" x14ac:dyDescent="0.3">
      <c r="A158" s="358">
        <f t="shared" si="5"/>
        <v>126</v>
      </c>
      <c r="B158" s="455">
        <f>'Methane Leakage'!$C$5*(($D$6+$D$7-$D$8-$D$9)/($D$16+$D$17)+((('Calcs - Power'!C137+'Calcs - Power'!D137+'Calcs - Power'!E137+'Calcs - Power'!F137)*($D$10+$D$11-$D$12-$D$13-$D$14-$D$15))/((102*'Calcs - Power'!B137)*($D$16+$D$17))))</f>
        <v>2.0000000000000042E-2</v>
      </c>
      <c r="C158" s="455">
        <f>'Methane Leakage'!$G$5*((($J$6+$J$7-$J$8)/$J$13)+((('Calcs - Transp'!$C137+'Calcs - Transp'!$D137+'Calcs - Transp'!$E137+'Calcs - Transp'!$F137)*($J$9+$J$10-$J$11-$J$12))/((102*'Calcs - Transp'!$B137)*$J$13)))</f>
        <v>2.8000000000000014E-2</v>
      </c>
      <c r="D158" s="455">
        <f>'Methane Leakage'!$G$5*((($P$6+$P$7-$P$8)/$P$13)+((('Calcs - Transp'!$C137+'Calcs - Transp'!$D137+'Calcs - Transp'!$E137+'Calcs - Transp'!$F137)*($P$9+$P$10-$P$11-$P$12))/((102*'Calcs - Transp'!$B137)*$P$13)))</f>
        <v>2.8000000000000014E-2</v>
      </c>
    </row>
    <row r="159" spans="1:4" x14ac:dyDescent="0.3">
      <c r="A159" s="358">
        <f t="shared" si="5"/>
        <v>127</v>
      </c>
      <c r="B159" s="455">
        <f>'Methane Leakage'!$C$5*(($D$6+$D$7-$D$8-$D$9)/($D$16+$D$17)+((('Calcs - Power'!C138+'Calcs - Power'!D138+'Calcs - Power'!E138+'Calcs - Power'!F138)*($D$10+$D$11-$D$12-$D$13-$D$14-$D$15))/((102*'Calcs - Power'!B138)*($D$16+$D$17))))</f>
        <v>2.0000000000000042E-2</v>
      </c>
      <c r="C159" s="455">
        <f>'Methane Leakage'!$G$5*((($J$6+$J$7-$J$8)/$J$13)+((('Calcs - Transp'!$C138+'Calcs - Transp'!$D138+'Calcs - Transp'!$E138+'Calcs - Transp'!$F138)*($J$9+$J$10-$J$11-$J$12))/((102*'Calcs - Transp'!$B138)*$J$13)))</f>
        <v>2.8000000000000014E-2</v>
      </c>
      <c r="D159" s="455">
        <f>'Methane Leakage'!$G$5*((($P$6+$P$7-$P$8)/$P$13)+((('Calcs - Transp'!$C138+'Calcs - Transp'!$D138+'Calcs - Transp'!$E138+'Calcs - Transp'!$F138)*($P$9+$P$10-$P$11-$P$12))/((102*'Calcs - Transp'!$B138)*$P$13)))</f>
        <v>2.8000000000000014E-2</v>
      </c>
    </row>
    <row r="160" spans="1:4" x14ac:dyDescent="0.3">
      <c r="A160" s="358">
        <f t="shared" si="5"/>
        <v>128</v>
      </c>
      <c r="B160" s="455">
        <f>'Methane Leakage'!$C$5*(($D$6+$D$7-$D$8-$D$9)/($D$16+$D$17)+((('Calcs - Power'!C139+'Calcs - Power'!D139+'Calcs - Power'!E139+'Calcs - Power'!F139)*($D$10+$D$11-$D$12-$D$13-$D$14-$D$15))/((102*'Calcs - Power'!B139)*($D$16+$D$17))))</f>
        <v>2.0000000000000042E-2</v>
      </c>
      <c r="C160" s="455">
        <f>'Methane Leakage'!$G$5*((($J$6+$J$7-$J$8)/$J$13)+((('Calcs - Transp'!$C139+'Calcs - Transp'!$D139+'Calcs - Transp'!$E139+'Calcs - Transp'!$F139)*($J$9+$J$10-$J$11-$J$12))/((102*'Calcs - Transp'!$B139)*$J$13)))</f>
        <v>2.8000000000000014E-2</v>
      </c>
      <c r="D160" s="455">
        <f>'Methane Leakage'!$G$5*((($P$6+$P$7-$P$8)/$P$13)+((('Calcs - Transp'!$C139+'Calcs - Transp'!$D139+'Calcs - Transp'!$E139+'Calcs - Transp'!$F139)*($P$9+$P$10-$P$11-$P$12))/((102*'Calcs - Transp'!$B139)*$P$13)))</f>
        <v>2.8000000000000014E-2</v>
      </c>
    </row>
    <row r="161" spans="1:4" x14ac:dyDescent="0.3">
      <c r="A161" s="358">
        <f t="shared" si="5"/>
        <v>129</v>
      </c>
      <c r="B161" s="455">
        <f>'Methane Leakage'!$C$5*(($D$6+$D$7-$D$8-$D$9)/($D$16+$D$17)+((('Calcs - Power'!C140+'Calcs - Power'!D140+'Calcs - Power'!E140+'Calcs - Power'!F140)*($D$10+$D$11-$D$12-$D$13-$D$14-$D$15))/((102*'Calcs - Power'!B140)*($D$16+$D$17))))</f>
        <v>2.0000000000000042E-2</v>
      </c>
      <c r="C161" s="455">
        <f>'Methane Leakage'!$G$5*((($J$6+$J$7-$J$8)/$J$13)+((('Calcs - Transp'!$C140+'Calcs - Transp'!$D140+'Calcs - Transp'!$E140+'Calcs - Transp'!$F140)*($J$9+$J$10-$J$11-$J$12))/((102*'Calcs - Transp'!$B140)*$J$13)))</f>
        <v>2.8000000000000014E-2</v>
      </c>
      <c r="D161" s="455">
        <f>'Methane Leakage'!$G$5*((($P$6+$P$7-$P$8)/$P$13)+((('Calcs - Transp'!$C140+'Calcs - Transp'!$D140+'Calcs - Transp'!$E140+'Calcs - Transp'!$F140)*($P$9+$P$10-$P$11-$P$12))/((102*'Calcs - Transp'!$B140)*$P$13)))</f>
        <v>2.8000000000000014E-2</v>
      </c>
    </row>
    <row r="162" spans="1:4" x14ac:dyDescent="0.3">
      <c r="A162" s="358">
        <f t="shared" si="5"/>
        <v>130</v>
      </c>
      <c r="B162" s="455">
        <f>'Methane Leakage'!$C$5*(($D$6+$D$7-$D$8-$D$9)/($D$16+$D$17)+((('Calcs - Power'!C141+'Calcs - Power'!D141+'Calcs - Power'!E141+'Calcs - Power'!F141)*($D$10+$D$11-$D$12-$D$13-$D$14-$D$15))/((102*'Calcs - Power'!B141)*($D$16+$D$17))))</f>
        <v>2.0000000000000042E-2</v>
      </c>
      <c r="C162" s="455">
        <f>'Methane Leakage'!$G$5*((($J$6+$J$7-$J$8)/$J$13)+((('Calcs - Transp'!$C141+'Calcs - Transp'!$D141+'Calcs - Transp'!$E141+'Calcs - Transp'!$F141)*($J$9+$J$10-$J$11-$J$12))/((102*'Calcs - Transp'!$B141)*$J$13)))</f>
        <v>2.8000000000000014E-2</v>
      </c>
      <c r="D162" s="455">
        <f>'Methane Leakage'!$G$5*((($P$6+$P$7-$P$8)/$P$13)+((('Calcs - Transp'!$C141+'Calcs - Transp'!$D141+'Calcs - Transp'!$E141+'Calcs - Transp'!$F141)*($P$9+$P$10-$P$11-$P$12))/((102*'Calcs - Transp'!$B141)*$P$13)))</f>
        <v>2.8000000000000014E-2</v>
      </c>
    </row>
    <row r="163" spans="1:4" x14ac:dyDescent="0.3">
      <c r="A163" s="358">
        <f t="shared" ref="A163:A226" si="6">A162+1</f>
        <v>131</v>
      </c>
      <c r="B163" s="455">
        <f>'Methane Leakage'!$C$5*(($D$6+$D$7-$D$8-$D$9)/($D$16+$D$17)+((('Calcs - Power'!C142+'Calcs - Power'!D142+'Calcs - Power'!E142+'Calcs - Power'!F142)*($D$10+$D$11-$D$12-$D$13-$D$14-$D$15))/((102*'Calcs - Power'!B142)*($D$16+$D$17))))</f>
        <v>2.0000000000000042E-2</v>
      </c>
      <c r="C163" s="455">
        <f>'Methane Leakage'!$G$5*((($J$6+$J$7-$J$8)/$J$13)+((('Calcs - Transp'!$C142+'Calcs - Transp'!$D142+'Calcs - Transp'!$E142+'Calcs - Transp'!$F142)*($J$9+$J$10-$J$11-$J$12))/((102*'Calcs - Transp'!$B142)*$J$13)))</f>
        <v>2.8000000000000014E-2</v>
      </c>
      <c r="D163" s="455">
        <f>'Methane Leakage'!$G$5*((($P$6+$P$7-$P$8)/$P$13)+((('Calcs - Transp'!$C142+'Calcs - Transp'!$D142+'Calcs - Transp'!$E142+'Calcs - Transp'!$F142)*($P$9+$P$10-$P$11-$P$12))/((102*'Calcs - Transp'!$B142)*$P$13)))</f>
        <v>2.8000000000000014E-2</v>
      </c>
    </row>
    <row r="164" spans="1:4" x14ac:dyDescent="0.3">
      <c r="A164" s="358">
        <f t="shared" si="6"/>
        <v>132</v>
      </c>
      <c r="B164" s="455">
        <f>'Methane Leakage'!$C$5*(($D$6+$D$7-$D$8-$D$9)/($D$16+$D$17)+((('Calcs - Power'!C143+'Calcs - Power'!D143+'Calcs - Power'!E143+'Calcs - Power'!F143)*($D$10+$D$11-$D$12-$D$13-$D$14-$D$15))/((102*'Calcs - Power'!B143)*($D$16+$D$17))))</f>
        <v>2.0000000000000042E-2</v>
      </c>
      <c r="C164" s="455">
        <f>'Methane Leakage'!$G$5*((($J$6+$J$7-$J$8)/$J$13)+((('Calcs - Transp'!$C143+'Calcs - Transp'!$D143+'Calcs - Transp'!$E143+'Calcs - Transp'!$F143)*($J$9+$J$10-$J$11-$J$12))/((102*'Calcs - Transp'!$B143)*$J$13)))</f>
        <v>2.8000000000000014E-2</v>
      </c>
      <c r="D164" s="455">
        <f>'Methane Leakage'!$G$5*((($P$6+$P$7-$P$8)/$P$13)+((('Calcs - Transp'!$C143+'Calcs - Transp'!$D143+'Calcs - Transp'!$E143+'Calcs - Transp'!$F143)*($P$9+$P$10-$P$11-$P$12))/((102*'Calcs - Transp'!$B143)*$P$13)))</f>
        <v>2.8000000000000014E-2</v>
      </c>
    </row>
    <row r="165" spans="1:4" x14ac:dyDescent="0.3">
      <c r="A165" s="358">
        <f t="shared" si="6"/>
        <v>133</v>
      </c>
      <c r="B165" s="455">
        <f>'Methane Leakage'!$C$5*(($D$6+$D$7-$D$8-$D$9)/($D$16+$D$17)+((('Calcs - Power'!C144+'Calcs - Power'!D144+'Calcs - Power'!E144+'Calcs - Power'!F144)*($D$10+$D$11-$D$12-$D$13-$D$14-$D$15))/((102*'Calcs - Power'!B144)*($D$16+$D$17))))</f>
        <v>2.0000000000000042E-2</v>
      </c>
      <c r="C165" s="455">
        <f>'Methane Leakage'!$G$5*((($J$6+$J$7-$J$8)/$J$13)+((('Calcs - Transp'!$C144+'Calcs - Transp'!$D144+'Calcs - Transp'!$E144+'Calcs - Transp'!$F144)*($J$9+$J$10-$J$11-$J$12))/((102*'Calcs - Transp'!$B144)*$J$13)))</f>
        <v>2.8000000000000014E-2</v>
      </c>
      <c r="D165" s="455">
        <f>'Methane Leakage'!$G$5*((($P$6+$P$7-$P$8)/$P$13)+((('Calcs - Transp'!$C144+'Calcs - Transp'!$D144+'Calcs - Transp'!$E144+'Calcs - Transp'!$F144)*($P$9+$P$10-$P$11-$P$12))/((102*'Calcs - Transp'!$B144)*$P$13)))</f>
        <v>2.8000000000000014E-2</v>
      </c>
    </row>
    <row r="166" spans="1:4" x14ac:dyDescent="0.3">
      <c r="A166" s="358">
        <f t="shared" si="6"/>
        <v>134</v>
      </c>
      <c r="B166" s="455">
        <f>'Methane Leakage'!$C$5*(($D$6+$D$7-$D$8-$D$9)/($D$16+$D$17)+((('Calcs - Power'!C145+'Calcs - Power'!D145+'Calcs - Power'!E145+'Calcs - Power'!F145)*($D$10+$D$11-$D$12-$D$13-$D$14-$D$15))/((102*'Calcs - Power'!B145)*($D$16+$D$17))))</f>
        <v>2.0000000000000042E-2</v>
      </c>
      <c r="C166" s="455">
        <f>'Methane Leakage'!$G$5*((($J$6+$J$7-$J$8)/$J$13)+((('Calcs - Transp'!$C145+'Calcs - Transp'!$D145+'Calcs - Transp'!$E145+'Calcs - Transp'!$F145)*($J$9+$J$10-$J$11-$J$12))/((102*'Calcs - Transp'!$B145)*$J$13)))</f>
        <v>2.8000000000000014E-2</v>
      </c>
      <c r="D166" s="455">
        <f>'Methane Leakage'!$G$5*((($P$6+$P$7-$P$8)/$P$13)+((('Calcs - Transp'!$C145+'Calcs - Transp'!$D145+'Calcs - Transp'!$E145+'Calcs - Transp'!$F145)*($P$9+$P$10-$P$11-$P$12))/((102*'Calcs - Transp'!$B145)*$P$13)))</f>
        <v>2.8000000000000014E-2</v>
      </c>
    </row>
    <row r="167" spans="1:4" x14ac:dyDescent="0.3">
      <c r="A167" s="358">
        <f t="shared" si="6"/>
        <v>135</v>
      </c>
      <c r="B167" s="455">
        <f>'Methane Leakage'!$C$5*(($D$6+$D$7-$D$8-$D$9)/($D$16+$D$17)+((('Calcs - Power'!C146+'Calcs - Power'!D146+'Calcs - Power'!E146+'Calcs - Power'!F146)*($D$10+$D$11-$D$12-$D$13-$D$14-$D$15))/((102*'Calcs - Power'!B146)*($D$16+$D$17))))</f>
        <v>2.0000000000000042E-2</v>
      </c>
      <c r="C167" s="455">
        <f>'Methane Leakage'!$G$5*((($J$6+$J$7-$J$8)/$J$13)+((('Calcs - Transp'!$C146+'Calcs - Transp'!$D146+'Calcs - Transp'!$E146+'Calcs - Transp'!$F146)*($J$9+$J$10-$J$11-$J$12))/((102*'Calcs - Transp'!$B146)*$J$13)))</f>
        <v>2.8000000000000014E-2</v>
      </c>
      <c r="D167" s="455">
        <f>'Methane Leakage'!$G$5*((($P$6+$P$7-$P$8)/$P$13)+((('Calcs - Transp'!$C146+'Calcs - Transp'!$D146+'Calcs - Transp'!$E146+'Calcs - Transp'!$F146)*($P$9+$P$10-$P$11-$P$12))/((102*'Calcs - Transp'!$B146)*$P$13)))</f>
        <v>2.8000000000000014E-2</v>
      </c>
    </row>
    <row r="168" spans="1:4" x14ac:dyDescent="0.3">
      <c r="A168" s="358">
        <f t="shared" si="6"/>
        <v>136</v>
      </c>
      <c r="B168" s="455">
        <f>'Methane Leakage'!$C$5*(($D$6+$D$7-$D$8-$D$9)/($D$16+$D$17)+((('Calcs - Power'!C147+'Calcs - Power'!D147+'Calcs - Power'!E147+'Calcs - Power'!F147)*($D$10+$D$11-$D$12-$D$13-$D$14-$D$15))/((102*'Calcs - Power'!B147)*($D$16+$D$17))))</f>
        <v>2.0000000000000042E-2</v>
      </c>
      <c r="C168" s="455">
        <f>'Methane Leakage'!$G$5*((($J$6+$J$7-$J$8)/$J$13)+((('Calcs - Transp'!$C147+'Calcs - Transp'!$D147+'Calcs - Transp'!$E147+'Calcs - Transp'!$F147)*($J$9+$J$10-$J$11-$J$12))/((102*'Calcs - Transp'!$B147)*$J$13)))</f>
        <v>2.8000000000000014E-2</v>
      </c>
      <c r="D168" s="455">
        <f>'Methane Leakage'!$G$5*((($P$6+$P$7-$P$8)/$P$13)+((('Calcs - Transp'!$C147+'Calcs - Transp'!$D147+'Calcs - Transp'!$E147+'Calcs - Transp'!$F147)*($P$9+$P$10-$P$11-$P$12))/((102*'Calcs - Transp'!$B147)*$P$13)))</f>
        <v>2.8000000000000014E-2</v>
      </c>
    </row>
    <row r="169" spans="1:4" x14ac:dyDescent="0.3">
      <c r="A169" s="358">
        <f t="shared" si="6"/>
        <v>137</v>
      </c>
      <c r="B169" s="455">
        <f>'Methane Leakage'!$C$5*(($D$6+$D$7-$D$8-$D$9)/($D$16+$D$17)+((('Calcs - Power'!C148+'Calcs - Power'!D148+'Calcs - Power'!E148+'Calcs - Power'!F148)*($D$10+$D$11-$D$12-$D$13-$D$14-$D$15))/((102*'Calcs - Power'!B148)*($D$16+$D$17))))</f>
        <v>2.0000000000000046E-2</v>
      </c>
      <c r="C169" s="455">
        <f>'Methane Leakage'!$G$5*((($J$6+$J$7-$J$8)/$J$13)+((('Calcs - Transp'!$C148+'Calcs - Transp'!$D148+'Calcs - Transp'!$E148+'Calcs - Transp'!$F148)*($J$9+$J$10-$J$11-$J$12))/((102*'Calcs - Transp'!$B148)*$J$13)))</f>
        <v>2.8000000000000014E-2</v>
      </c>
      <c r="D169" s="455">
        <f>'Methane Leakage'!$G$5*((($P$6+$P$7-$P$8)/$P$13)+((('Calcs - Transp'!$C148+'Calcs - Transp'!$D148+'Calcs - Transp'!$E148+'Calcs - Transp'!$F148)*($P$9+$P$10-$P$11-$P$12))/((102*'Calcs - Transp'!$B148)*$P$13)))</f>
        <v>2.8000000000000014E-2</v>
      </c>
    </row>
    <row r="170" spans="1:4" x14ac:dyDescent="0.3">
      <c r="A170" s="358">
        <f t="shared" si="6"/>
        <v>138</v>
      </c>
      <c r="B170" s="455">
        <f>'Methane Leakage'!$C$5*(($D$6+$D$7-$D$8-$D$9)/($D$16+$D$17)+((('Calcs - Power'!C149+'Calcs - Power'!D149+'Calcs - Power'!E149+'Calcs - Power'!F149)*($D$10+$D$11-$D$12-$D$13-$D$14-$D$15))/((102*'Calcs - Power'!B149)*($D$16+$D$17))))</f>
        <v>2.0000000000000046E-2</v>
      </c>
      <c r="C170" s="455">
        <f>'Methane Leakage'!$G$5*((($J$6+$J$7-$J$8)/$J$13)+((('Calcs - Transp'!$C149+'Calcs - Transp'!$D149+'Calcs - Transp'!$E149+'Calcs - Transp'!$F149)*($J$9+$J$10-$J$11-$J$12))/((102*'Calcs - Transp'!$B149)*$J$13)))</f>
        <v>2.8000000000000014E-2</v>
      </c>
      <c r="D170" s="455">
        <f>'Methane Leakage'!$G$5*((($P$6+$P$7-$P$8)/$P$13)+((('Calcs - Transp'!$C149+'Calcs - Transp'!$D149+'Calcs - Transp'!$E149+'Calcs - Transp'!$F149)*($P$9+$P$10-$P$11-$P$12))/((102*'Calcs - Transp'!$B149)*$P$13)))</f>
        <v>2.8000000000000014E-2</v>
      </c>
    </row>
    <row r="171" spans="1:4" x14ac:dyDescent="0.3">
      <c r="A171" s="358">
        <f t="shared" si="6"/>
        <v>139</v>
      </c>
      <c r="B171" s="455">
        <f>'Methane Leakage'!$C$5*(($D$6+$D$7-$D$8-$D$9)/($D$16+$D$17)+((('Calcs - Power'!C150+'Calcs - Power'!D150+'Calcs - Power'!E150+'Calcs - Power'!F150)*($D$10+$D$11-$D$12-$D$13-$D$14-$D$15))/((102*'Calcs - Power'!B150)*($D$16+$D$17))))</f>
        <v>2.0000000000000046E-2</v>
      </c>
      <c r="C171" s="455">
        <f>'Methane Leakage'!$G$5*((($J$6+$J$7-$J$8)/$J$13)+((('Calcs - Transp'!$C150+'Calcs - Transp'!$D150+'Calcs - Transp'!$E150+'Calcs - Transp'!$F150)*($J$9+$J$10-$J$11-$J$12))/((102*'Calcs - Transp'!$B150)*$J$13)))</f>
        <v>2.8000000000000014E-2</v>
      </c>
      <c r="D171" s="455">
        <f>'Methane Leakage'!$G$5*((($P$6+$P$7-$P$8)/$P$13)+((('Calcs - Transp'!$C150+'Calcs - Transp'!$D150+'Calcs - Transp'!$E150+'Calcs - Transp'!$F150)*($P$9+$P$10-$P$11-$P$12))/((102*'Calcs - Transp'!$B150)*$P$13)))</f>
        <v>2.8000000000000014E-2</v>
      </c>
    </row>
    <row r="172" spans="1:4" x14ac:dyDescent="0.3">
      <c r="A172" s="358">
        <f t="shared" si="6"/>
        <v>140</v>
      </c>
      <c r="B172" s="455">
        <f>'Methane Leakage'!$C$5*(($D$6+$D$7-$D$8-$D$9)/($D$16+$D$17)+((('Calcs - Power'!C151+'Calcs - Power'!D151+'Calcs - Power'!E151+'Calcs - Power'!F151)*($D$10+$D$11-$D$12-$D$13-$D$14-$D$15))/((102*'Calcs - Power'!B151)*($D$16+$D$17))))</f>
        <v>2.0000000000000046E-2</v>
      </c>
      <c r="C172" s="455">
        <f>'Methane Leakage'!$G$5*((($J$6+$J$7-$J$8)/$J$13)+((('Calcs - Transp'!$C151+'Calcs - Transp'!$D151+'Calcs - Transp'!$E151+'Calcs - Transp'!$F151)*($J$9+$J$10-$J$11-$J$12))/((102*'Calcs - Transp'!$B151)*$J$13)))</f>
        <v>2.8000000000000014E-2</v>
      </c>
      <c r="D172" s="455">
        <f>'Methane Leakage'!$G$5*((($P$6+$P$7-$P$8)/$P$13)+((('Calcs - Transp'!$C151+'Calcs - Transp'!$D151+'Calcs - Transp'!$E151+'Calcs - Transp'!$F151)*($P$9+$P$10-$P$11-$P$12))/((102*'Calcs - Transp'!$B151)*$P$13)))</f>
        <v>2.8000000000000014E-2</v>
      </c>
    </row>
    <row r="173" spans="1:4" x14ac:dyDescent="0.3">
      <c r="A173" s="358">
        <f t="shared" si="6"/>
        <v>141</v>
      </c>
      <c r="B173" s="455">
        <f>'Methane Leakage'!$C$5*(($D$6+$D$7-$D$8-$D$9)/($D$16+$D$17)+((('Calcs - Power'!C152+'Calcs - Power'!D152+'Calcs - Power'!E152+'Calcs - Power'!F152)*($D$10+$D$11-$D$12-$D$13-$D$14-$D$15))/((102*'Calcs - Power'!B152)*($D$16+$D$17))))</f>
        <v>2.0000000000000046E-2</v>
      </c>
      <c r="C173" s="455">
        <f>'Methane Leakage'!$G$5*((($J$6+$J$7-$J$8)/$J$13)+((('Calcs - Transp'!$C152+'Calcs - Transp'!$D152+'Calcs - Transp'!$E152+'Calcs - Transp'!$F152)*($J$9+$J$10-$J$11-$J$12))/((102*'Calcs - Transp'!$B152)*$J$13)))</f>
        <v>2.8000000000000014E-2</v>
      </c>
      <c r="D173" s="455">
        <f>'Methane Leakage'!$G$5*((($P$6+$P$7-$P$8)/$P$13)+((('Calcs - Transp'!$C152+'Calcs - Transp'!$D152+'Calcs - Transp'!$E152+'Calcs - Transp'!$F152)*($P$9+$P$10-$P$11-$P$12))/((102*'Calcs - Transp'!$B152)*$P$13)))</f>
        <v>2.8000000000000014E-2</v>
      </c>
    </row>
    <row r="174" spans="1:4" x14ac:dyDescent="0.3">
      <c r="A174" s="358">
        <f t="shared" si="6"/>
        <v>142</v>
      </c>
      <c r="B174" s="455">
        <f>'Methane Leakage'!$C$5*(($D$6+$D$7-$D$8-$D$9)/($D$16+$D$17)+((('Calcs - Power'!C153+'Calcs - Power'!D153+'Calcs - Power'!E153+'Calcs - Power'!F153)*($D$10+$D$11-$D$12-$D$13-$D$14-$D$15))/((102*'Calcs - Power'!B153)*($D$16+$D$17))))</f>
        <v>2.0000000000000046E-2</v>
      </c>
      <c r="C174" s="455">
        <f>'Methane Leakage'!$G$5*((($J$6+$J$7-$J$8)/$J$13)+((('Calcs - Transp'!$C153+'Calcs - Transp'!$D153+'Calcs - Transp'!$E153+'Calcs - Transp'!$F153)*($J$9+$J$10-$J$11-$J$12))/((102*'Calcs - Transp'!$B153)*$J$13)))</f>
        <v>2.8000000000000014E-2</v>
      </c>
      <c r="D174" s="455">
        <f>'Methane Leakage'!$G$5*((($P$6+$P$7-$P$8)/$P$13)+((('Calcs - Transp'!$C153+'Calcs - Transp'!$D153+'Calcs - Transp'!$E153+'Calcs - Transp'!$F153)*($P$9+$P$10-$P$11-$P$12))/((102*'Calcs - Transp'!$B153)*$P$13)))</f>
        <v>2.8000000000000014E-2</v>
      </c>
    </row>
    <row r="175" spans="1:4" x14ac:dyDescent="0.3">
      <c r="A175" s="358">
        <f t="shared" si="6"/>
        <v>143</v>
      </c>
      <c r="B175" s="455">
        <f>'Methane Leakage'!$C$5*(($D$6+$D$7-$D$8-$D$9)/($D$16+$D$17)+((('Calcs - Power'!C154+'Calcs - Power'!D154+'Calcs - Power'!E154+'Calcs - Power'!F154)*($D$10+$D$11-$D$12-$D$13-$D$14-$D$15))/((102*'Calcs - Power'!B154)*($D$16+$D$17))))</f>
        <v>2.0000000000000046E-2</v>
      </c>
      <c r="C175" s="455">
        <f>'Methane Leakage'!$G$5*((($J$6+$J$7-$J$8)/$J$13)+((('Calcs - Transp'!$C154+'Calcs - Transp'!$D154+'Calcs - Transp'!$E154+'Calcs - Transp'!$F154)*($J$9+$J$10-$J$11-$J$12))/((102*'Calcs - Transp'!$B154)*$J$13)))</f>
        <v>2.8000000000000014E-2</v>
      </c>
      <c r="D175" s="455">
        <f>'Methane Leakage'!$G$5*((($P$6+$P$7-$P$8)/$P$13)+((('Calcs - Transp'!$C154+'Calcs - Transp'!$D154+'Calcs - Transp'!$E154+'Calcs - Transp'!$F154)*($P$9+$P$10-$P$11-$P$12))/((102*'Calcs - Transp'!$B154)*$P$13)))</f>
        <v>2.8000000000000014E-2</v>
      </c>
    </row>
    <row r="176" spans="1:4" x14ac:dyDescent="0.3">
      <c r="A176" s="358">
        <f t="shared" si="6"/>
        <v>144</v>
      </c>
      <c r="B176" s="455">
        <f>'Methane Leakage'!$C$5*(($D$6+$D$7-$D$8-$D$9)/($D$16+$D$17)+((('Calcs - Power'!C155+'Calcs - Power'!D155+'Calcs - Power'!E155+'Calcs - Power'!F155)*($D$10+$D$11-$D$12-$D$13-$D$14-$D$15))/((102*'Calcs - Power'!B155)*($D$16+$D$17))))</f>
        <v>2.0000000000000046E-2</v>
      </c>
      <c r="C176" s="455">
        <f>'Methane Leakage'!$G$5*((($J$6+$J$7-$J$8)/$J$13)+((('Calcs - Transp'!$C155+'Calcs - Transp'!$D155+'Calcs - Transp'!$E155+'Calcs - Transp'!$F155)*($J$9+$J$10-$J$11-$J$12))/((102*'Calcs - Transp'!$B155)*$J$13)))</f>
        <v>2.8000000000000014E-2</v>
      </c>
      <c r="D176" s="455">
        <f>'Methane Leakage'!$G$5*((($P$6+$P$7-$P$8)/$P$13)+((('Calcs - Transp'!$C155+'Calcs - Transp'!$D155+'Calcs - Transp'!$E155+'Calcs - Transp'!$F155)*($P$9+$P$10-$P$11-$P$12))/((102*'Calcs - Transp'!$B155)*$P$13)))</f>
        <v>2.8000000000000014E-2</v>
      </c>
    </row>
    <row r="177" spans="1:4" x14ac:dyDescent="0.3">
      <c r="A177" s="358">
        <f t="shared" si="6"/>
        <v>145</v>
      </c>
      <c r="B177" s="455">
        <f>'Methane Leakage'!$C$5*(($D$6+$D$7-$D$8-$D$9)/($D$16+$D$17)+((('Calcs - Power'!C156+'Calcs - Power'!D156+'Calcs - Power'!E156+'Calcs - Power'!F156)*($D$10+$D$11-$D$12-$D$13-$D$14-$D$15))/((102*'Calcs - Power'!B156)*($D$16+$D$17))))</f>
        <v>2.0000000000000046E-2</v>
      </c>
      <c r="C177" s="455">
        <f>'Methane Leakage'!$G$5*((($J$6+$J$7-$J$8)/$J$13)+((('Calcs - Transp'!$C156+'Calcs - Transp'!$D156+'Calcs - Transp'!$E156+'Calcs - Transp'!$F156)*($J$9+$J$10-$J$11-$J$12))/((102*'Calcs - Transp'!$B156)*$J$13)))</f>
        <v>2.8000000000000014E-2</v>
      </c>
      <c r="D177" s="455">
        <f>'Methane Leakage'!$G$5*((($P$6+$P$7-$P$8)/$P$13)+((('Calcs - Transp'!$C156+'Calcs - Transp'!$D156+'Calcs - Transp'!$E156+'Calcs - Transp'!$F156)*($P$9+$P$10-$P$11-$P$12))/((102*'Calcs - Transp'!$B156)*$P$13)))</f>
        <v>2.8000000000000014E-2</v>
      </c>
    </row>
    <row r="178" spans="1:4" x14ac:dyDescent="0.3">
      <c r="A178" s="358">
        <f t="shared" si="6"/>
        <v>146</v>
      </c>
      <c r="B178" s="455">
        <f>'Methane Leakage'!$C$5*(($D$6+$D$7-$D$8-$D$9)/($D$16+$D$17)+((('Calcs - Power'!C157+'Calcs - Power'!D157+'Calcs - Power'!E157+'Calcs - Power'!F157)*($D$10+$D$11-$D$12-$D$13-$D$14-$D$15))/((102*'Calcs - Power'!B157)*($D$16+$D$17))))</f>
        <v>2.0000000000000046E-2</v>
      </c>
      <c r="C178" s="455">
        <f>'Methane Leakage'!$G$5*((($J$6+$J$7-$J$8)/$J$13)+((('Calcs - Transp'!$C157+'Calcs - Transp'!$D157+'Calcs - Transp'!$E157+'Calcs - Transp'!$F157)*($J$9+$J$10-$J$11-$J$12))/((102*'Calcs - Transp'!$B157)*$J$13)))</f>
        <v>2.8000000000000014E-2</v>
      </c>
      <c r="D178" s="455">
        <f>'Methane Leakage'!$G$5*((($P$6+$P$7-$P$8)/$P$13)+((('Calcs - Transp'!$C157+'Calcs - Transp'!$D157+'Calcs - Transp'!$E157+'Calcs - Transp'!$F157)*($P$9+$P$10-$P$11-$P$12))/((102*'Calcs - Transp'!$B157)*$P$13)))</f>
        <v>2.8000000000000014E-2</v>
      </c>
    </row>
    <row r="179" spans="1:4" x14ac:dyDescent="0.3">
      <c r="A179" s="358">
        <f t="shared" si="6"/>
        <v>147</v>
      </c>
      <c r="B179" s="455">
        <f>'Methane Leakage'!$C$5*(($D$6+$D$7-$D$8-$D$9)/($D$16+$D$17)+((('Calcs - Power'!C158+'Calcs - Power'!D158+'Calcs - Power'!E158+'Calcs - Power'!F158)*($D$10+$D$11-$D$12-$D$13-$D$14-$D$15))/((102*'Calcs - Power'!B158)*($D$16+$D$17))))</f>
        <v>2.0000000000000046E-2</v>
      </c>
      <c r="C179" s="455">
        <f>'Methane Leakage'!$G$5*((($J$6+$J$7-$J$8)/$J$13)+((('Calcs - Transp'!$C158+'Calcs - Transp'!$D158+'Calcs - Transp'!$E158+'Calcs - Transp'!$F158)*($J$9+$J$10-$J$11-$J$12))/((102*'Calcs - Transp'!$B158)*$J$13)))</f>
        <v>2.8000000000000014E-2</v>
      </c>
      <c r="D179" s="455">
        <f>'Methane Leakage'!$G$5*((($P$6+$P$7-$P$8)/$P$13)+((('Calcs - Transp'!$C158+'Calcs - Transp'!$D158+'Calcs - Transp'!$E158+'Calcs - Transp'!$F158)*($P$9+$P$10-$P$11-$P$12))/((102*'Calcs - Transp'!$B158)*$P$13)))</f>
        <v>2.8000000000000014E-2</v>
      </c>
    </row>
    <row r="180" spans="1:4" x14ac:dyDescent="0.3">
      <c r="A180" s="358">
        <f t="shared" si="6"/>
        <v>148</v>
      </c>
      <c r="B180" s="455">
        <f>'Methane Leakage'!$C$5*(($D$6+$D$7-$D$8-$D$9)/($D$16+$D$17)+((('Calcs - Power'!C159+'Calcs - Power'!D159+'Calcs - Power'!E159+'Calcs - Power'!F159)*($D$10+$D$11-$D$12-$D$13-$D$14-$D$15))/((102*'Calcs - Power'!B159)*($D$16+$D$17))))</f>
        <v>2.0000000000000046E-2</v>
      </c>
      <c r="C180" s="455">
        <f>'Methane Leakage'!$G$5*((($J$6+$J$7-$J$8)/$J$13)+((('Calcs - Transp'!$C159+'Calcs - Transp'!$D159+'Calcs - Transp'!$E159+'Calcs - Transp'!$F159)*($J$9+$J$10-$J$11-$J$12))/((102*'Calcs - Transp'!$B159)*$J$13)))</f>
        <v>2.8000000000000014E-2</v>
      </c>
      <c r="D180" s="455">
        <f>'Methane Leakage'!$G$5*((($P$6+$P$7-$P$8)/$P$13)+((('Calcs - Transp'!$C159+'Calcs - Transp'!$D159+'Calcs - Transp'!$E159+'Calcs - Transp'!$F159)*($P$9+$P$10-$P$11-$P$12))/((102*'Calcs - Transp'!$B159)*$P$13)))</f>
        <v>2.8000000000000014E-2</v>
      </c>
    </row>
    <row r="181" spans="1:4" x14ac:dyDescent="0.3">
      <c r="A181" s="358">
        <f t="shared" si="6"/>
        <v>149</v>
      </c>
      <c r="B181" s="455">
        <f>'Methane Leakage'!$C$5*(($D$6+$D$7-$D$8-$D$9)/($D$16+$D$17)+((('Calcs - Power'!C160+'Calcs - Power'!D160+'Calcs - Power'!E160+'Calcs - Power'!F160)*($D$10+$D$11-$D$12-$D$13-$D$14-$D$15))/((102*'Calcs - Power'!B160)*($D$16+$D$17))))</f>
        <v>2.0000000000000046E-2</v>
      </c>
      <c r="C181" s="455">
        <f>'Methane Leakage'!$G$5*((($J$6+$J$7-$J$8)/$J$13)+((('Calcs - Transp'!$C160+'Calcs - Transp'!$D160+'Calcs - Transp'!$E160+'Calcs - Transp'!$F160)*($J$9+$J$10-$J$11-$J$12))/((102*'Calcs - Transp'!$B160)*$J$13)))</f>
        <v>2.8000000000000014E-2</v>
      </c>
      <c r="D181" s="455">
        <f>'Methane Leakage'!$G$5*((($P$6+$P$7-$P$8)/$P$13)+((('Calcs - Transp'!$C160+'Calcs - Transp'!$D160+'Calcs - Transp'!$E160+'Calcs - Transp'!$F160)*($P$9+$P$10-$P$11-$P$12))/((102*'Calcs - Transp'!$B160)*$P$13)))</f>
        <v>2.8000000000000014E-2</v>
      </c>
    </row>
    <row r="182" spans="1:4" x14ac:dyDescent="0.3">
      <c r="A182" s="358">
        <f t="shared" si="6"/>
        <v>150</v>
      </c>
      <c r="B182" s="455">
        <f>'Methane Leakage'!$C$5*(($D$6+$D$7-$D$8-$D$9)/($D$16+$D$17)+((('Calcs - Power'!C161+'Calcs - Power'!D161+'Calcs - Power'!E161+'Calcs - Power'!F161)*($D$10+$D$11-$D$12-$D$13-$D$14-$D$15))/((102*'Calcs - Power'!B161)*($D$16+$D$17))))</f>
        <v>2.0000000000000046E-2</v>
      </c>
      <c r="C182" s="455">
        <f>'Methane Leakage'!$G$5*((($J$6+$J$7-$J$8)/$J$13)+((('Calcs - Transp'!$C161+'Calcs - Transp'!$D161+'Calcs - Transp'!$E161+'Calcs - Transp'!$F161)*($J$9+$J$10-$J$11-$J$12))/((102*'Calcs - Transp'!$B161)*$J$13)))</f>
        <v>2.8000000000000014E-2</v>
      </c>
      <c r="D182" s="455">
        <f>'Methane Leakage'!$G$5*((($P$6+$P$7-$P$8)/$P$13)+((('Calcs - Transp'!$C161+'Calcs - Transp'!$D161+'Calcs - Transp'!$E161+'Calcs - Transp'!$F161)*($P$9+$P$10-$P$11-$P$12))/((102*'Calcs - Transp'!$B161)*$P$13)))</f>
        <v>2.8000000000000014E-2</v>
      </c>
    </row>
    <row r="183" spans="1:4" x14ac:dyDescent="0.3">
      <c r="A183" s="358">
        <f t="shared" si="6"/>
        <v>151</v>
      </c>
      <c r="B183" s="455">
        <f>'Methane Leakage'!$C$5*(($D$6+$D$7-$D$8-$D$9)/($D$16+$D$17)+((('Calcs - Power'!C162+'Calcs - Power'!D162+'Calcs - Power'!E162+'Calcs - Power'!F162)*($D$10+$D$11-$D$12-$D$13-$D$14-$D$15))/((102*'Calcs - Power'!B162)*($D$16+$D$17))))</f>
        <v>2.0000000000000046E-2</v>
      </c>
      <c r="C183" s="455">
        <f>'Methane Leakage'!$G$5*((($J$6+$J$7-$J$8)/$J$13)+((('Calcs - Transp'!$C162+'Calcs - Transp'!$D162+'Calcs - Transp'!$E162+'Calcs - Transp'!$F162)*($J$9+$J$10-$J$11-$J$12))/((102*'Calcs - Transp'!$B162)*$J$13)))</f>
        <v>2.8000000000000014E-2</v>
      </c>
      <c r="D183" s="455">
        <f>'Methane Leakage'!$G$5*((($P$6+$P$7-$P$8)/$P$13)+((('Calcs - Transp'!$C162+'Calcs - Transp'!$D162+'Calcs - Transp'!$E162+'Calcs - Transp'!$F162)*($P$9+$P$10-$P$11-$P$12))/((102*'Calcs - Transp'!$B162)*$P$13)))</f>
        <v>2.8000000000000014E-2</v>
      </c>
    </row>
    <row r="184" spans="1:4" x14ac:dyDescent="0.3">
      <c r="A184" s="358">
        <f t="shared" si="6"/>
        <v>152</v>
      </c>
      <c r="B184" s="455">
        <f>'Methane Leakage'!$C$5*(($D$6+$D$7-$D$8-$D$9)/($D$16+$D$17)+((('Calcs - Power'!C163+'Calcs - Power'!D163+'Calcs - Power'!E163+'Calcs - Power'!F163)*($D$10+$D$11-$D$12-$D$13-$D$14-$D$15))/((102*'Calcs - Power'!B163)*($D$16+$D$17))))</f>
        <v>2.0000000000000046E-2</v>
      </c>
      <c r="C184" s="455">
        <f>'Methane Leakage'!$G$5*((($J$6+$J$7-$J$8)/$J$13)+((('Calcs - Transp'!$C163+'Calcs - Transp'!$D163+'Calcs - Transp'!$E163+'Calcs - Transp'!$F163)*($J$9+$J$10-$J$11-$J$12))/((102*'Calcs - Transp'!$B163)*$J$13)))</f>
        <v>2.8000000000000014E-2</v>
      </c>
      <c r="D184" s="455">
        <f>'Methane Leakage'!$G$5*((($P$6+$P$7-$P$8)/$P$13)+((('Calcs - Transp'!$C163+'Calcs - Transp'!$D163+'Calcs - Transp'!$E163+'Calcs - Transp'!$F163)*($P$9+$P$10-$P$11-$P$12))/((102*'Calcs - Transp'!$B163)*$P$13)))</f>
        <v>2.8000000000000014E-2</v>
      </c>
    </row>
    <row r="185" spans="1:4" x14ac:dyDescent="0.3">
      <c r="A185" s="358">
        <f t="shared" si="6"/>
        <v>153</v>
      </c>
      <c r="B185" s="455">
        <f>'Methane Leakage'!$C$5*(($D$6+$D$7-$D$8-$D$9)/($D$16+$D$17)+((('Calcs - Power'!C164+'Calcs - Power'!D164+'Calcs - Power'!E164+'Calcs - Power'!F164)*($D$10+$D$11-$D$12-$D$13-$D$14-$D$15))/((102*'Calcs - Power'!B164)*($D$16+$D$17))))</f>
        <v>2.0000000000000046E-2</v>
      </c>
      <c r="C185" s="455">
        <f>'Methane Leakage'!$G$5*((($J$6+$J$7-$J$8)/$J$13)+((('Calcs - Transp'!$C164+'Calcs - Transp'!$D164+'Calcs - Transp'!$E164+'Calcs - Transp'!$F164)*($J$9+$J$10-$J$11-$J$12))/((102*'Calcs - Transp'!$B164)*$J$13)))</f>
        <v>2.8000000000000014E-2</v>
      </c>
      <c r="D185" s="455">
        <f>'Methane Leakage'!$G$5*((($P$6+$P$7-$P$8)/$P$13)+((('Calcs - Transp'!$C164+'Calcs - Transp'!$D164+'Calcs - Transp'!$E164+'Calcs - Transp'!$F164)*($P$9+$P$10-$P$11-$P$12))/((102*'Calcs - Transp'!$B164)*$P$13)))</f>
        <v>2.8000000000000014E-2</v>
      </c>
    </row>
    <row r="186" spans="1:4" x14ac:dyDescent="0.3">
      <c r="A186" s="358">
        <f t="shared" si="6"/>
        <v>154</v>
      </c>
      <c r="B186" s="455">
        <f>'Methane Leakage'!$C$5*(($D$6+$D$7-$D$8-$D$9)/($D$16+$D$17)+((('Calcs - Power'!C165+'Calcs - Power'!D165+'Calcs - Power'!E165+'Calcs - Power'!F165)*($D$10+$D$11-$D$12-$D$13-$D$14-$D$15))/((102*'Calcs - Power'!B165)*($D$16+$D$17))))</f>
        <v>2.0000000000000046E-2</v>
      </c>
      <c r="C186" s="455">
        <f>'Methane Leakage'!$G$5*((($J$6+$J$7-$J$8)/$J$13)+((('Calcs - Transp'!$C165+'Calcs - Transp'!$D165+'Calcs - Transp'!$E165+'Calcs - Transp'!$F165)*($J$9+$J$10-$J$11-$J$12))/((102*'Calcs - Transp'!$B165)*$J$13)))</f>
        <v>2.8000000000000014E-2</v>
      </c>
      <c r="D186" s="455">
        <f>'Methane Leakage'!$G$5*((($P$6+$P$7-$P$8)/$P$13)+((('Calcs - Transp'!$C165+'Calcs - Transp'!$D165+'Calcs - Transp'!$E165+'Calcs - Transp'!$F165)*($P$9+$P$10-$P$11-$P$12))/((102*'Calcs - Transp'!$B165)*$P$13)))</f>
        <v>2.8000000000000014E-2</v>
      </c>
    </row>
    <row r="187" spans="1:4" x14ac:dyDescent="0.3">
      <c r="A187" s="358">
        <f t="shared" si="6"/>
        <v>155</v>
      </c>
      <c r="B187" s="455">
        <f>'Methane Leakage'!$C$5*(($D$6+$D$7-$D$8-$D$9)/($D$16+$D$17)+((('Calcs - Power'!C166+'Calcs - Power'!D166+'Calcs - Power'!E166+'Calcs - Power'!F166)*($D$10+$D$11-$D$12-$D$13-$D$14-$D$15))/((102*'Calcs - Power'!B166)*($D$16+$D$17))))</f>
        <v>2.0000000000000046E-2</v>
      </c>
      <c r="C187" s="455">
        <f>'Methane Leakage'!$G$5*((($J$6+$J$7-$J$8)/$J$13)+((('Calcs - Transp'!$C166+'Calcs - Transp'!$D166+'Calcs - Transp'!$E166+'Calcs - Transp'!$F166)*($J$9+$J$10-$J$11-$J$12))/((102*'Calcs - Transp'!$B166)*$J$13)))</f>
        <v>2.8000000000000014E-2</v>
      </c>
      <c r="D187" s="455">
        <f>'Methane Leakage'!$G$5*((($P$6+$P$7-$P$8)/$P$13)+((('Calcs - Transp'!$C166+'Calcs - Transp'!$D166+'Calcs - Transp'!$E166+'Calcs - Transp'!$F166)*($P$9+$P$10-$P$11-$P$12))/((102*'Calcs - Transp'!$B166)*$P$13)))</f>
        <v>2.8000000000000014E-2</v>
      </c>
    </row>
    <row r="188" spans="1:4" x14ac:dyDescent="0.3">
      <c r="A188" s="358">
        <f t="shared" si="6"/>
        <v>156</v>
      </c>
      <c r="B188" s="455">
        <f>'Methane Leakage'!$C$5*(($D$6+$D$7-$D$8-$D$9)/($D$16+$D$17)+((('Calcs - Power'!C167+'Calcs - Power'!D167+'Calcs - Power'!E167+'Calcs - Power'!F167)*($D$10+$D$11-$D$12-$D$13-$D$14-$D$15))/((102*'Calcs - Power'!B167)*($D$16+$D$17))))</f>
        <v>2.0000000000000046E-2</v>
      </c>
      <c r="C188" s="455">
        <f>'Methane Leakage'!$G$5*((($J$6+$J$7-$J$8)/$J$13)+((('Calcs - Transp'!$C167+'Calcs - Transp'!$D167+'Calcs - Transp'!$E167+'Calcs - Transp'!$F167)*($J$9+$J$10-$J$11-$J$12))/((102*'Calcs - Transp'!$B167)*$J$13)))</f>
        <v>2.8000000000000014E-2</v>
      </c>
      <c r="D188" s="455">
        <f>'Methane Leakage'!$G$5*((($P$6+$P$7-$P$8)/$P$13)+((('Calcs - Transp'!$C167+'Calcs - Transp'!$D167+'Calcs - Transp'!$E167+'Calcs - Transp'!$F167)*($P$9+$P$10-$P$11-$P$12))/((102*'Calcs - Transp'!$B167)*$P$13)))</f>
        <v>2.8000000000000014E-2</v>
      </c>
    </row>
    <row r="189" spans="1:4" x14ac:dyDescent="0.3">
      <c r="A189" s="358">
        <f t="shared" si="6"/>
        <v>157</v>
      </c>
      <c r="B189" s="455">
        <f>'Methane Leakage'!$C$5*(($D$6+$D$7-$D$8-$D$9)/($D$16+$D$17)+((('Calcs - Power'!C168+'Calcs - Power'!D168+'Calcs - Power'!E168+'Calcs - Power'!F168)*($D$10+$D$11-$D$12-$D$13-$D$14-$D$15))/((102*'Calcs - Power'!B168)*($D$16+$D$17))))</f>
        <v>2.0000000000000046E-2</v>
      </c>
      <c r="C189" s="455">
        <f>'Methane Leakage'!$G$5*((($J$6+$J$7-$J$8)/$J$13)+((('Calcs - Transp'!$C168+'Calcs - Transp'!$D168+'Calcs - Transp'!$E168+'Calcs - Transp'!$F168)*($J$9+$J$10-$J$11-$J$12))/((102*'Calcs - Transp'!$B168)*$J$13)))</f>
        <v>2.8000000000000014E-2</v>
      </c>
      <c r="D189" s="455">
        <f>'Methane Leakage'!$G$5*((($P$6+$P$7-$P$8)/$P$13)+((('Calcs - Transp'!$C168+'Calcs - Transp'!$D168+'Calcs - Transp'!$E168+'Calcs - Transp'!$F168)*($P$9+$P$10-$P$11-$P$12))/((102*'Calcs - Transp'!$B168)*$P$13)))</f>
        <v>2.8000000000000014E-2</v>
      </c>
    </row>
    <row r="190" spans="1:4" x14ac:dyDescent="0.3">
      <c r="A190" s="358">
        <f t="shared" si="6"/>
        <v>158</v>
      </c>
      <c r="B190" s="455">
        <f>'Methane Leakage'!$C$5*(($D$6+$D$7-$D$8-$D$9)/($D$16+$D$17)+((('Calcs - Power'!C169+'Calcs - Power'!D169+'Calcs - Power'!E169+'Calcs - Power'!F169)*($D$10+$D$11-$D$12-$D$13-$D$14-$D$15))/((102*'Calcs - Power'!B169)*($D$16+$D$17))))</f>
        <v>2.0000000000000049E-2</v>
      </c>
      <c r="C190" s="455">
        <f>'Methane Leakage'!$G$5*((($J$6+$J$7-$J$8)/$J$13)+((('Calcs - Transp'!$C169+'Calcs - Transp'!$D169+'Calcs - Transp'!$E169+'Calcs - Transp'!$F169)*($J$9+$J$10-$J$11-$J$12))/((102*'Calcs - Transp'!$B169)*$J$13)))</f>
        <v>2.8000000000000014E-2</v>
      </c>
      <c r="D190" s="455">
        <f>'Methane Leakage'!$G$5*((($P$6+$P$7-$P$8)/$P$13)+((('Calcs - Transp'!$C169+'Calcs - Transp'!$D169+'Calcs - Transp'!$E169+'Calcs - Transp'!$F169)*($P$9+$P$10-$P$11-$P$12))/((102*'Calcs - Transp'!$B169)*$P$13)))</f>
        <v>2.8000000000000014E-2</v>
      </c>
    </row>
    <row r="191" spans="1:4" x14ac:dyDescent="0.3">
      <c r="A191" s="358">
        <f t="shared" si="6"/>
        <v>159</v>
      </c>
      <c r="B191" s="455">
        <f>'Methane Leakage'!$C$5*(($D$6+$D$7-$D$8-$D$9)/($D$16+$D$17)+((('Calcs - Power'!C170+'Calcs - Power'!D170+'Calcs - Power'!E170+'Calcs - Power'!F170)*($D$10+$D$11-$D$12-$D$13-$D$14-$D$15))/((102*'Calcs - Power'!B170)*($D$16+$D$17))))</f>
        <v>2.0000000000000049E-2</v>
      </c>
      <c r="C191" s="455">
        <f>'Methane Leakage'!$G$5*((($J$6+$J$7-$J$8)/$J$13)+((('Calcs - Transp'!$C170+'Calcs - Transp'!$D170+'Calcs - Transp'!$E170+'Calcs - Transp'!$F170)*($J$9+$J$10-$J$11-$J$12))/((102*'Calcs - Transp'!$B170)*$J$13)))</f>
        <v>2.8000000000000014E-2</v>
      </c>
      <c r="D191" s="455">
        <f>'Methane Leakage'!$G$5*((($P$6+$P$7-$P$8)/$P$13)+((('Calcs - Transp'!$C170+'Calcs - Transp'!$D170+'Calcs - Transp'!$E170+'Calcs - Transp'!$F170)*($P$9+$P$10-$P$11-$P$12))/((102*'Calcs - Transp'!$B170)*$P$13)))</f>
        <v>2.8000000000000014E-2</v>
      </c>
    </row>
    <row r="192" spans="1:4" x14ac:dyDescent="0.3">
      <c r="A192" s="358">
        <f t="shared" si="6"/>
        <v>160</v>
      </c>
      <c r="B192" s="455">
        <f>'Methane Leakage'!$C$5*(($D$6+$D$7-$D$8-$D$9)/($D$16+$D$17)+((('Calcs - Power'!C171+'Calcs - Power'!D171+'Calcs - Power'!E171+'Calcs - Power'!F171)*($D$10+$D$11-$D$12-$D$13-$D$14-$D$15))/((102*'Calcs - Power'!B171)*($D$16+$D$17))))</f>
        <v>2.0000000000000049E-2</v>
      </c>
      <c r="C192" s="455">
        <f>'Methane Leakage'!$G$5*((($J$6+$J$7-$J$8)/$J$13)+((('Calcs - Transp'!$C171+'Calcs - Transp'!$D171+'Calcs - Transp'!$E171+'Calcs - Transp'!$F171)*($J$9+$J$10-$J$11-$J$12))/((102*'Calcs - Transp'!$B171)*$J$13)))</f>
        <v>2.8000000000000014E-2</v>
      </c>
      <c r="D192" s="455">
        <f>'Methane Leakage'!$G$5*((($P$6+$P$7-$P$8)/$P$13)+((('Calcs - Transp'!$C171+'Calcs - Transp'!$D171+'Calcs - Transp'!$E171+'Calcs - Transp'!$F171)*($P$9+$P$10-$P$11-$P$12))/((102*'Calcs - Transp'!$B171)*$P$13)))</f>
        <v>2.8000000000000014E-2</v>
      </c>
    </row>
    <row r="193" spans="1:4" x14ac:dyDescent="0.3">
      <c r="A193" s="358">
        <f t="shared" si="6"/>
        <v>161</v>
      </c>
      <c r="B193" s="455">
        <f>'Methane Leakage'!$C$5*(($D$6+$D$7-$D$8-$D$9)/($D$16+$D$17)+((('Calcs - Power'!C172+'Calcs - Power'!D172+'Calcs - Power'!E172+'Calcs - Power'!F172)*($D$10+$D$11-$D$12-$D$13-$D$14-$D$15))/((102*'Calcs - Power'!B172)*($D$16+$D$17))))</f>
        <v>2.0000000000000049E-2</v>
      </c>
      <c r="C193" s="455">
        <f>'Methane Leakage'!$G$5*((($J$6+$J$7-$J$8)/$J$13)+((('Calcs - Transp'!$C172+'Calcs - Transp'!$D172+'Calcs - Transp'!$E172+'Calcs - Transp'!$F172)*($J$9+$J$10-$J$11-$J$12))/((102*'Calcs - Transp'!$B172)*$J$13)))</f>
        <v>2.8000000000000014E-2</v>
      </c>
      <c r="D193" s="455">
        <f>'Methane Leakage'!$G$5*((($P$6+$P$7-$P$8)/$P$13)+((('Calcs - Transp'!$C172+'Calcs - Transp'!$D172+'Calcs - Transp'!$E172+'Calcs - Transp'!$F172)*($P$9+$P$10-$P$11-$P$12))/((102*'Calcs - Transp'!$B172)*$P$13)))</f>
        <v>2.8000000000000014E-2</v>
      </c>
    </row>
    <row r="194" spans="1:4" x14ac:dyDescent="0.3">
      <c r="A194" s="358">
        <f t="shared" si="6"/>
        <v>162</v>
      </c>
      <c r="B194" s="455">
        <f>'Methane Leakage'!$C$5*(($D$6+$D$7-$D$8-$D$9)/($D$16+$D$17)+((('Calcs - Power'!C173+'Calcs - Power'!D173+'Calcs - Power'!E173+'Calcs - Power'!F173)*($D$10+$D$11-$D$12-$D$13-$D$14-$D$15))/((102*'Calcs - Power'!B173)*($D$16+$D$17))))</f>
        <v>2.0000000000000049E-2</v>
      </c>
      <c r="C194" s="455">
        <f>'Methane Leakage'!$G$5*((($J$6+$J$7-$J$8)/$J$13)+((('Calcs - Transp'!$C173+'Calcs - Transp'!$D173+'Calcs - Transp'!$E173+'Calcs - Transp'!$F173)*($J$9+$J$10-$J$11-$J$12))/((102*'Calcs - Transp'!$B173)*$J$13)))</f>
        <v>2.8000000000000014E-2</v>
      </c>
      <c r="D194" s="455">
        <f>'Methane Leakage'!$G$5*((($P$6+$P$7-$P$8)/$P$13)+((('Calcs - Transp'!$C173+'Calcs - Transp'!$D173+'Calcs - Transp'!$E173+'Calcs - Transp'!$F173)*($P$9+$P$10-$P$11-$P$12))/((102*'Calcs - Transp'!$B173)*$P$13)))</f>
        <v>2.8000000000000014E-2</v>
      </c>
    </row>
    <row r="195" spans="1:4" x14ac:dyDescent="0.3">
      <c r="A195" s="358">
        <f t="shared" si="6"/>
        <v>163</v>
      </c>
      <c r="B195" s="455">
        <f>'Methane Leakage'!$C$5*(($D$6+$D$7-$D$8-$D$9)/($D$16+$D$17)+((('Calcs - Power'!C174+'Calcs - Power'!D174+'Calcs - Power'!E174+'Calcs - Power'!F174)*($D$10+$D$11-$D$12-$D$13-$D$14-$D$15))/((102*'Calcs - Power'!B174)*($D$16+$D$17))))</f>
        <v>2.0000000000000049E-2</v>
      </c>
      <c r="C195" s="455">
        <f>'Methane Leakage'!$G$5*((($J$6+$J$7-$J$8)/$J$13)+((('Calcs - Transp'!$C174+'Calcs - Transp'!$D174+'Calcs - Transp'!$E174+'Calcs - Transp'!$F174)*($J$9+$J$10-$J$11-$J$12))/((102*'Calcs - Transp'!$B174)*$J$13)))</f>
        <v>2.8000000000000014E-2</v>
      </c>
      <c r="D195" s="455">
        <f>'Methane Leakage'!$G$5*((($P$6+$P$7-$P$8)/$P$13)+((('Calcs - Transp'!$C174+'Calcs - Transp'!$D174+'Calcs - Transp'!$E174+'Calcs - Transp'!$F174)*($P$9+$P$10-$P$11-$P$12))/((102*'Calcs - Transp'!$B174)*$P$13)))</f>
        <v>2.8000000000000014E-2</v>
      </c>
    </row>
    <row r="196" spans="1:4" x14ac:dyDescent="0.3">
      <c r="A196" s="358">
        <f t="shared" si="6"/>
        <v>164</v>
      </c>
      <c r="B196" s="455">
        <f>'Methane Leakage'!$C$5*(($D$6+$D$7-$D$8-$D$9)/($D$16+$D$17)+((('Calcs - Power'!C175+'Calcs - Power'!D175+'Calcs - Power'!E175+'Calcs - Power'!F175)*($D$10+$D$11-$D$12-$D$13-$D$14-$D$15))/((102*'Calcs - Power'!B175)*($D$16+$D$17))))</f>
        <v>2.0000000000000049E-2</v>
      </c>
      <c r="C196" s="455">
        <f>'Methane Leakage'!$G$5*((($J$6+$J$7-$J$8)/$J$13)+((('Calcs - Transp'!$C175+'Calcs - Transp'!$D175+'Calcs - Transp'!$E175+'Calcs - Transp'!$F175)*($J$9+$J$10-$J$11-$J$12))/((102*'Calcs - Transp'!$B175)*$J$13)))</f>
        <v>2.8000000000000014E-2</v>
      </c>
      <c r="D196" s="455">
        <f>'Methane Leakage'!$G$5*((($P$6+$P$7-$P$8)/$P$13)+((('Calcs - Transp'!$C175+'Calcs - Transp'!$D175+'Calcs - Transp'!$E175+'Calcs - Transp'!$F175)*($P$9+$P$10-$P$11-$P$12))/((102*'Calcs - Transp'!$B175)*$P$13)))</f>
        <v>2.8000000000000014E-2</v>
      </c>
    </row>
    <row r="197" spans="1:4" x14ac:dyDescent="0.3">
      <c r="A197" s="358">
        <f t="shared" si="6"/>
        <v>165</v>
      </c>
      <c r="B197" s="455">
        <f>'Methane Leakage'!$C$5*(($D$6+$D$7-$D$8-$D$9)/($D$16+$D$17)+((('Calcs - Power'!C176+'Calcs - Power'!D176+'Calcs - Power'!E176+'Calcs - Power'!F176)*($D$10+$D$11-$D$12-$D$13-$D$14-$D$15))/((102*'Calcs - Power'!B176)*($D$16+$D$17))))</f>
        <v>2.0000000000000049E-2</v>
      </c>
      <c r="C197" s="455">
        <f>'Methane Leakage'!$G$5*((($J$6+$J$7-$J$8)/$J$13)+((('Calcs - Transp'!$C176+'Calcs - Transp'!$D176+'Calcs - Transp'!$E176+'Calcs - Transp'!$F176)*($J$9+$J$10-$J$11-$J$12))/((102*'Calcs - Transp'!$B176)*$J$13)))</f>
        <v>2.8000000000000014E-2</v>
      </c>
      <c r="D197" s="455">
        <f>'Methane Leakage'!$G$5*((($P$6+$P$7-$P$8)/$P$13)+((('Calcs - Transp'!$C176+'Calcs - Transp'!$D176+'Calcs - Transp'!$E176+'Calcs - Transp'!$F176)*($P$9+$P$10-$P$11-$P$12))/((102*'Calcs - Transp'!$B176)*$P$13)))</f>
        <v>2.8000000000000014E-2</v>
      </c>
    </row>
    <row r="198" spans="1:4" x14ac:dyDescent="0.3">
      <c r="A198" s="358">
        <f t="shared" si="6"/>
        <v>166</v>
      </c>
      <c r="B198" s="455">
        <f>'Methane Leakage'!$C$5*(($D$6+$D$7-$D$8-$D$9)/($D$16+$D$17)+((('Calcs - Power'!C177+'Calcs - Power'!D177+'Calcs - Power'!E177+'Calcs - Power'!F177)*($D$10+$D$11-$D$12-$D$13-$D$14-$D$15))/((102*'Calcs - Power'!B177)*($D$16+$D$17))))</f>
        <v>2.0000000000000049E-2</v>
      </c>
      <c r="C198" s="455">
        <f>'Methane Leakage'!$G$5*((($J$6+$J$7-$J$8)/$J$13)+((('Calcs - Transp'!$C177+'Calcs - Transp'!$D177+'Calcs - Transp'!$E177+'Calcs - Transp'!$F177)*($J$9+$J$10-$J$11-$J$12))/((102*'Calcs - Transp'!$B177)*$J$13)))</f>
        <v>2.8000000000000014E-2</v>
      </c>
      <c r="D198" s="455">
        <f>'Methane Leakage'!$G$5*((($P$6+$P$7-$P$8)/$P$13)+((('Calcs - Transp'!$C177+'Calcs - Transp'!$D177+'Calcs - Transp'!$E177+'Calcs - Transp'!$F177)*($P$9+$P$10-$P$11-$P$12))/((102*'Calcs - Transp'!$B177)*$P$13)))</f>
        <v>2.8000000000000014E-2</v>
      </c>
    </row>
    <row r="199" spans="1:4" x14ac:dyDescent="0.3">
      <c r="A199" s="358">
        <f t="shared" si="6"/>
        <v>167</v>
      </c>
      <c r="B199" s="455">
        <f>'Methane Leakage'!$C$5*(($D$6+$D$7-$D$8-$D$9)/($D$16+$D$17)+((('Calcs - Power'!C178+'Calcs - Power'!D178+'Calcs - Power'!E178+'Calcs - Power'!F178)*($D$10+$D$11-$D$12-$D$13-$D$14-$D$15))/((102*'Calcs - Power'!B178)*($D$16+$D$17))))</f>
        <v>2.0000000000000049E-2</v>
      </c>
      <c r="C199" s="455">
        <f>'Methane Leakage'!$G$5*((($J$6+$J$7-$J$8)/$J$13)+((('Calcs - Transp'!$C178+'Calcs - Transp'!$D178+'Calcs - Transp'!$E178+'Calcs - Transp'!$F178)*($J$9+$J$10-$J$11-$J$12))/((102*'Calcs - Transp'!$B178)*$J$13)))</f>
        <v>2.8000000000000014E-2</v>
      </c>
      <c r="D199" s="455">
        <f>'Methane Leakage'!$G$5*((($P$6+$P$7-$P$8)/$P$13)+((('Calcs - Transp'!$C178+'Calcs - Transp'!$D178+'Calcs - Transp'!$E178+'Calcs - Transp'!$F178)*($P$9+$P$10-$P$11-$P$12))/((102*'Calcs - Transp'!$B178)*$P$13)))</f>
        <v>2.8000000000000014E-2</v>
      </c>
    </row>
    <row r="200" spans="1:4" x14ac:dyDescent="0.3">
      <c r="A200" s="358">
        <f t="shared" si="6"/>
        <v>168</v>
      </c>
      <c r="B200" s="455">
        <f>'Methane Leakage'!$C$5*(($D$6+$D$7-$D$8-$D$9)/($D$16+$D$17)+((('Calcs - Power'!C179+'Calcs - Power'!D179+'Calcs - Power'!E179+'Calcs - Power'!F179)*($D$10+$D$11-$D$12-$D$13-$D$14-$D$15))/((102*'Calcs - Power'!B179)*($D$16+$D$17))))</f>
        <v>2.0000000000000049E-2</v>
      </c>
      <c r="C200" s="455">
        <f>'Methane Leakage'!$G$5*((($J$6+$J$7-$J$8)/$J$13)+((('Calcs - Transp'!$C179+'Calcs - Transp'!$D179+'Calcs - Transp'!$E179+'Calcs - Transp'!$F179)*($J$9+$J$10-$J$11-$J$12))/((102*'Calcs - Transp'!$B179)*$J$13)))</f>
        <v>2.8000000000000014E-2</v>
      </c>
      <c r="D200" s="455">
        <f>'Methane Leakage'!$G$5*((($P$6+$P$7-$P$8)/$P$13)+((('Calcs - Transp'!$C179+'Calcs - Transp'!$D179+'Calcs - Transp'!$E179+'Calcs - Transp'!$F179)*($P$9+$P$10-$P$11-$P$12))/((102*'Calcs - Transp'!$B179)*$P$13)))</f>
        <v>2.8000000000000014E-2</v>
      </c>
    </row>
    <row r="201" spans="1:4" x14ac:dyDescent="0.3">
      <c r="A201" s="358">
        <f t="shared" si="6"/>
        <v>169</v>
      </c>
      <c r="B201" s="455">
        <f>'Methane Leakage'!$C$5*(($D$6+$D$7-$D$8-$D$9)/($D$16+$D$17)+((('Calcs - Power'!C180+'Calcs - Power'!D180+'Calcs - Power'!E180+'Calcs - Power'!F180)*($D$10+$D$11-$D$12-$D$13-$D$14-$D$15))/((102*'Calcs - Power'!B180)*($D$16+$D$17))))</f>
        <v>2.0000000000000049E-2</v>
      </c>
      <c r="C201" s="455">
        <f>'Methane Leakage'!$G$5*((($J$6+$J$7-$J$8)/$J$13)+((('Calcs - Transp'!$C180+'Calcs - Transp'!$D180+'Calcs - Transp'!$E180+'Calcs - Transp'!$F180)*($J$9+$J$10-$J$11-$J$12))/((102*'Calcs - Transp'!$B180)*$J$13)))</f>
        <v>2.8000000000000014E-2</v>
      </c>
      <c r="D201" s="455">
        <f>'Methane Leakage'!$G$5*((($P$6+$P$7-$P$8)/$P$13)+((('Calcs - Transp'!$C180+'Calcs - Transp'!$D180+'Calcs - Transp'!$E180+'Calcs - Transp'!$F180)*($P$9+$P$10-$P$11-$P$12))/((102*'Calcs - Transp'!$B180)*$P$13)))</f>
        <v>2.8000000000000014E-2</v>
      </c>
    </row>
    <row r="202" spans="1:4" x14ac:dyDescent="0.3">
      <c r="A202" s="358">
        <f t="shared" si="6"/>
        <v>170</v>
      </c>
      <c r="B202" s="455">
        <f>'Methane Leakage'!$C$5*(($D$6+$D$7-$D$8-$D$9)/($D$16+$D$17)+((('Calcs - Power'!C181+'Calcs - Power'!D181+'Calcs - Power'!E181+'Calcs - Power'!F181)*($D$10+$D$11-$D$12-$D$13-$D$14-$D$15))/((102*'Calcs - Power'!B181)*($D$16+$D$17))))</f>
        <v>2.0000000000000049E-2</v>
      </c>
      <c r="C202" s="455">
        <f>'Methane Leakage'!$G$5*((($J$6+$J$7-$J$8)/$J$13)+((('Calcs - Transp'!$C181+'Calcs - Transp'!$D181+'Calcs - Transp'!$E181+'Calcs - Transp'!$F181)*($J$9+$J$10-$J$11-$J$12))/((102*'Calcs - Transp'!$B181)*$J$13)))</f>
        <v>2.8000000000000014E-2</v>
      </c>
      <c r="D202" s="455">
        <f>'Methane Leakage'!$G$5*((($P$6+$P$7-$P$8)/$P$13)+((('Calcs - Transp'!$C181+'Calcs - Transp'!$D181+'Calcs - Transp'!$E181+'Calcs - Transp'!$F181)*($P$9+$P$10-$P$11-$P$12))/((102*'Calcs - Transp'!$B181)*$P$13)))</f>
        <v>2.8000000000000014E-2</v>
      </c>
    </row>
    <row r="203" spans="1:4" x14ac:dyDescent="0.3">
      <c r="A203" s="358">
        <f t="shared" si="6"/>
        <v>171</v>
      </c>
      <c r="B203" s="455">
        <f>'Methane Leakage'!$C$5*(($D$6+$D$7-$D$8-$D$9)/($D$16+$D$17)+((('Calcs - Power'!C182+'Calcs - Power'!D182+'Calcs - Power'!E182+'Calcs - Power'!F182)*($D$10+$D$11-$D$12-$D$13-$D$14-$D$15))/((102*'Calcs - Power'!B182)*($D$16+$D$17))))</f>
        <v>2.0000000000000049E-2</v>
      </c>
      <c r="C203" s="455">
        <f>'Methane Leakage'!$G$5*((($J$6+$J$7-$J$8)/$J$13)+((('Calcs - Transp'!$C182+'Calcs - Transp'!$D182+'Calcs - Transp'!$E182+'Calcs - Transp'!$F182)*($J$9+$J$10-$J$11-$J$12))/((102*'Calcs - Transp'!$B182)*$J$13)))</f>
        <v>2.8000000000000014E-2</v>
      </c>
      <c r="D203" s="455">
        <f>'Methane Leakage'!$G$5*((($P$6+$P$7-$P$8)/$P$13)+((('Calcs - Transp'!$C182+'Calcs - Transp'!$D182+'Calcs - Transp'!$E182+'Calcs - Transp'!$F182)*($P$9+$P$10-$P$11-$P$12))/((102*'Calcs - Transp'!$B182)*$P$13)))</f>
        <v>2.8000000000000014E-2</v>
      </c>
    </row>
    <row r="204" spans="1:4" x14ac:dyDescent="0.3">
      <c r="A204" s="358">
        <f t="shared" si="6"/>
        <v>172</v>
      </c>
      <c r="B204" s="455">
        <f>'Methane Leakage'!$C$5*(($D$6+$D$7-$D$8-$D$9)/($D$16+$D$17)+((('Calcs - Power'!C183+'Calcs - Power'!D183+'Calcs - Power'!E183+'Calcs - Power'!F183)*($D$10+$D$11-$D$12-$D$13-$D$14-$D$15))/((102*'Calcs - Power'!B183)*($D$16+$D$17))))</f>
        <v>2.0000000000000049E-2</v>
      </c>
      <c r="C204" s="455">
        <f>'Methane Leakage'!$G$5*((($J$6+$J$7-$J$8)/$J$13)+((('Calcs - Transp'!$C183+'Calcs - Transp'!$D183+'Calcs - Transp'!$E183+'Calcs - Transp'!$F183)*($J$9+$J$10-$J$11-$J$12))/((102*'Calcs - Transp'!$B183)*$J$13)))</f>
        <v>2.8000000000000014E-2</v>
      </c>
      <c r="D204" s="455">
        <f>'Methane Leakage'!$G$5*((($P$6+$P$7-$P$8)/$P$13)+((('Calcs - Transp'!$C183+'Calcs - Transp'!$D183+'Calcs - Transp'!$E183+'Calcs - Transp'!$F183)*($P$9+$P$10-$P$11-$P$12))/((102*'Calcs - Transp'!$B183)*$P$13)))</f>
        <v>2.8000000000000014E-2</v>
      </c>
    </row>
    <row r="205" spans="1:4" x14ac:dyDescent="0.3">
      <c r="A205" s="358">
        <f t="shared" si="6"/>
        <v>173</v>
      </c>
      <c r="B205" s="455">
        <f>'Methane Leakage'!$C$5*(($D$6+$D$7-$D$8-$D$9)/($D$16+$D$17)+((('Calcs - Power'!C184+'Calcs - Power'!D184+'Calcs - Power'!E184+'Calcs - Power'!F184)*($D$10+$D$11-$D$12-$D$13-$D$14-$D$15))/((102*'Calcs - Power'!B184)*($D$16+$D$17))))</f>
        <v>2.0000000000000049E-2</v>
      </c>
      <c r="C205" s="455">
        <f>'Methane Leakage'!$G$5*((($J$6+$J$7-$J$8)/$J$13)+((('Calcs - Transp'!$C184+'Calcs - Transp'!$D184+'Calcs - Transp'!$E184+'Calcs - Transp'!$F184)*($J$9+$J$10-$J$11-$J$12))/((102*'Calcs - Transp'!$B184)*$J$13)))</f>
        <v>2.8000000000000014E-2</v>
      </c>
      <c r="D205" s="455">
        <f>'Methane Leakage'!$G$5*((($P$6+$P$7-$P$8)/$P$13)+((('Calcs - Transp'!$C184+'Calcs - Transp'!$D184+'Calcs - Transp'!$E184+'Calcs - Transp'!$F184)*($P$9+$P$10-$P$11-$P$12))/((102*'Calcs - Transp'!$B184)*$P$13)))</f>
        <v>2.8000000000000014E-2</v>
      </c>
    </row>
    <row r="206" spans="1:4" x14ac:dyDescent="0.3">
      <c r="A206" s="358">
        <f t="shared" si="6"/>
        <v>174</v>
      </c>
      <c r="B206" s="455">
        <f>'Methane Leakage'!$C$5*(($D$6+$D$7-$D$8-$D$9)/($D$16+$D$17)+((('Calcs - Power'!C185+'Calcs - Power'!D185+'Calcs - Power'!E185+'Calcs - Power'!F185)*($D$10+$D$11-$D$12-$D$13-$D$14-$D$15))/((102*'Calcs - Power'!B185)*($D$16+$D$17))))</f>
        <v>2.0000000000000049E-2</v>
      </c>
      <c r="C206" s="455">
        <f>'Methane Leakage'!$G$5*((($J$6+$J$7-$J$8)/$J$13)+((('Calcs - Transp'!$C185+'Calcs - Transp'!$D185+'Calcs - Transp'!$E185+'Calcs - Transp'!$F185)*($J$9+$J$10-$J$11-$J$12))/((102*'Calcs - Transp'!$B185)*$J$13)))</f>
        <v>2.8000000000000014E-2</v>
      </c>
      <c r="D206" s="455">
        <f>'Methane Leakage'!$G$5*((($P$6+$P$7-$P$8)/$P$13)+((('Calcs - Transp'!$C185+'Calcs - Transp'!$D185+'Calcs - Transp'!$E185+'Calcs - Transp'!$F185)*($P$9+$P$10-$P$11-$P$12))/((102*'Calcs - Transp'!$B185)*$P$13)))</f>
        <v>2.8000000000000014E-2</v>
      </c>
    </row>
    <row r="207" spans="1:4" x14ac:dyDescent="0.3">
      <c r="A207" s="358">
        <f t="shared" si="6"/>
        <v>175</v>
      </c>
      <c r="B207" s="455">
        <f>'Methane Leakage'!$C$5*(($D$6+$D$7-$D$8-$D$9)/($D$16+$D$17)+((('Calcs - Power'!C186+'Calcs - Power'!D186+'Calcs - Power'!E186+'Calcs - Power'!F186)*($D$10+$D$11-$D$12-$D$13-$D$14-$D$15))/((102*'Calcs - Power'!B186)*($D$16+$D$17))))</f>
        <v>2.0000000000000049E-2</v>
      </c>
      <c r="C207" s="455">
        <f>'Methane Leakage'!$G$5*((($J$6+$J$7-$J$8)/$J$13)+((('Calcs - Transp'!$C186+'Calcs - Transp'!$D186+'Calcs - Transp'!$E186+'Calcs - Transp'!$F186)*($J$9+$J$10-$J$11-$J$12))/((102*'Calcs - Transp'!$B186)*$J$13)))</f>
        <v>2.8000000000000014E-2</v>
      </c>
      <c r="D207" s="455">
        <f>'Methane Leakage'!$G$5*((($P$6+$P$7-$P$8)/$P$13)+((('Calcs - Transp'!$C186+'Calcs - Transp'!$D186+'Calcs - Transp'!$E186+'Calcs - Transp'!$F186)*($P$9+$P$10-$P$11-$P$12))/((102*'Calcs - Transp'!$B186)*$P$13)))</f>
        <v>2.8000000000000014E-2</v>
      </c>
    </row>
    <row r="208" spans="1:4" x14ac:dyDescent="0.3">
      <c r="A208" s="358">
        <f t="shared" si="6"/>
        <v>176</v>
      </c>
      <c r="B208" s="455">
        <f>'Methane Leakage'!$C$5*(($D$6+$D$7-$D$8-$D$9)/($D$16+$D$17)+((('Calcs - Power'!C187+'Calcs - Power'!D187+'Calcs - Power'!E187+'Calcs - Power'!F187)*($D$10+$D$11-$D$12-$D$13-$D$14-$D$15))/((102*'Calcs - Power'!B187)*($D$16+$D$17))))</f>
        <v>2.0000000000000049E-2</v>
      </c>
      <c r="C208" s="455">
        <f>'Methane Leakage'!$G$5*((($J$6+$J$7-$J$8)/$J$13)+((('Calcs - Transp'!$C187+'Calcs - Transp'!$D187+'Calcs - Transp'!$E187+'Calcs - Transp'!$F187)*($J$9+$J$10-$J$11-$J$12))/((102*'Calcs - Transp'!$B187)*$J$13)))</f>
        <v>2.8000000000000014E-2</v>
      </c>
      <c r="D208" s="455">
        <f>'Methane Leakage'!$G$5*((($P$6+$P$7-$P$8)/$P$13)+((('Calcs - Transp'!$C187+'Calcs - Transp'!$D187+'Calcs - Transp'!$E187+'Calcs - Transp'!$F187)*($P$9+$P$10-$P$11-$P$12))/((102*'Calcs - Transp'!$B187)*$P$13)))</f>
        <v>2.8000000000000014E-2</v>
      </c>
    </row>
    <row r="209" spans="1:4" x14ac:dyDescent="0.3">
      <c r="A209" s="358">
        <f t="shared" si="6"/>
        <v>177</v>
      </c>
      <c r="B209" s="455">
        <f>'Methane Leakage'!$C$5*(($D$6+$D$7-$D$8-$D$9)/($D$16+$D$17)+((('Calcs - Power'!C188+'Calcs - Power'!D188+'Calcs - Power'!E188+'Calcs - Power'!F188)*($D$10+$D$11-$D$12-$D$13-$D$14-$D$15))/((102*'Calcs - Power'!B188)*($D$16+$D$17))))</f>
        <v>2.0000000000000049E-2</v>
      </c>
      <c r="C209" s="455">
        <f>'Methane Leakage'!$G$5*((($J$6+$J$7-$J$8)/$J$13)+((('Calcs - Transp'!$C188+'Calcs - Transp'!$D188+'Calcs - Transp'!$E188+'Calcs - Transp'!$F188)*($J$9+$J$10-$J$11-$J$12))/((102*'Calcs - Transp'!$B188)*$J$13)))</f>
        <v>2.8000000000000014E-2</v>
      </c>
      <c r="D209" s="455">
        <f>'Methane Leakage'!$G$5*((($P$6+$P$7-$P$8)/$P$13)+((('Calcs - Transp'!$C188+'Calcs - Transp'!$D188+'Calcs - Transp'!$E188+'Calcs - Transp'!$F188)*($P$9+$P$10-$P$11-$P$12))/((102*'Calcs - Transp'!$B188)*$P$13)))</f>
        <v>2.8000000000000014E-2</v>
      </c>
    </row>
    <row r="210" spans="1:4" x14ac:dyDescent="0.3">
      <c r="A210" s="358">
        <f t="shared" si="6"/>
        <v>178</v>
      </c>
      <c r="B210" s="455">
        <f>'Methane Leakage'!$C$5*(($D$6+$D$7-$D$8-$D$9)/($D$16+$D$17)+((('Calcs - Power'!C189+'Calcs - Power'!D189+'Calcs - Power'!E189+'Calcs - Power'!F189)*($D$10+$D$11-$D$12-$D$13-$D$14-$D$15))/((102*'Calcs - Power'!B189)*($D$16+$D$17))))</f>
        <v>2.0000000000000049E-2</v>
      </c>
      <c r="C210" s="455">
        <f>'Methane Leakage'!$G$5*((($J$6+$J$7-$J$8)/$J$13)+((('Calcs - Transp'!$C189+'Calcs - Transp'!$D189+'Calcs - Transp'!$E189+'Calcs - Transp'!$F189)*($J$9+$J$10-$J$11-$J$12))/((102*'Calcs - Transp'!$B189)*$J$13)))</f>
        <v>2.8000000000000014E-2</v>
      </c>
      <c r="D210" s="455">
        <f>'Methane Leakage'!$G$5*((($P$6+$P$7-$P$8)/$P$13)+((('Calcs - Transp'!$C189+'Calcs - Transp'!$D189+'Calcs - Transp'!$E189+'Calcs - Transp'!$F189)*($P$9+$P$10-$P$11-$P$12))/((102*'Calcs - Transp'!$B189)*$P$13)))</f>
        <v>2.8000000000000014E-2</v>
      </c>
    </row>
    <row r="211" spans="1:4" x14ac:dyDescent="0.3">
      <c r="A211" s="358">
        <f t="shared" si="6"/>
        <v>179</v>
      </c>
      <c r="B211" s="455">
        <f>'Methane Leakage'!$C$5*(($D$6+$D$7-$D$8-$D$9)/($D$16+$D$17)+((('Calcs - Power'!C190+'Calcs - Power'!D190+'Calcs - Power'!E190+'Calcs - Power'!F190)*($D$10+$D$11-$D$12-$D$13-$D$14-$D$15))/((102*'Calcs - Power'!B190)*($D$16+$D$17))))</f>
        <v>2.0000000000000052E-2</v>
      </c>
      <c r="C211" s="455">
        <f>'Methane Leakage'!$G$5*((($J$6+$J$7-$J$8)/$J$13)+((('Calcs - Transp'!$C190+'Calcs - Transp'!$D190+'Calcs - Transp'!$E190+'Calcs - Transp'!$F190)*($J$9+$J$10-$J$11-$J$12))/((102*'Calcs - Transp'!$B190)*$J$13)))</f>
        <v>2.8000000000000014E-2</v>
      </c>
      <c r="D211" s="455">
        <f>'Methane Leakage'!$G$5*((($P$6+$P$7-$P$8)/$P$13)+((('Calcs - Transp'!$C190+'Calcs - Transp'!$D190+'Calcs - Transp'!$E190+'Calcs - Transp'!$F190)*($P$9+$P$10-$P$11-$P$12))/((102*'Calcs - Transp'!$B190)*$P$13)))</f>
        <v>2.8000000000000014E-2</v>
      </c>
    </row>
    <row r="212" spans="1:4" x14ac:dyDescent="0.3">
      <c r="A212" s="358">
        <f t="shared" si="6"/>
        <v>180</v>
      </c>
      <c r="B212" s="455">
        <f>'Methane Leakage'!$C$5*(($D$6+$D$7-$D$8-$D$9)/($D$16+$D$17)+((('Calcs - Power'!C191+'Calcs - Power'!D191+'Calcs - Power'!E191+'Calcs - Power'!F191)*($D$10+$D$11-$D$12-$D$13-$D$14-$D$15))/((102*'Calcs - Power'!B191)*($D$16+$D$17))))</f>
        <v>2.0000000000000052E-2</v>
      </c>
      <c r="C212" s="455">
        <f>'Methane Leakage'!$G$5*((($J$6+$J$7-$J$8)/$J$13)+((('Calcs - Transp'!$C191+'Calcs - Transp'!$D191+'Calcs - Transp'!$E191+'Calcs - Transp'!$F191)*($J$9+$J$10-$J$11-$J$12))/((102*'Calcs - Transp'!$B191)*$J$13)))</f>
        <v>2.8000000000000014E-2</v>
      </c>
      <c r="D212" s="455">
        <f>'Methane Leakage'!$G$5*((($P$6+$P$7-$P$8)/$P$13)+((('Calcs - Transp'!$C191+'Calcs - Transp'!$D191+'Calcs - Transp'!$E191+'Calcs - Transp'!$F191)*($P$9+$P$10-$P$11-$P$12))/((102*'Calcs - Transp'!$B191)*$P$13)))</f>
        <v>2.8000000000000014E-2</v>
      </c>
    </row>
    <row r="213" spans="1:4" x14ac:dyDescent="0.3">
      <c r="A213" s="358">
        <f t="shared" si="6"/>
        <v>181</v>
      </c>
      <c r="B213" s="455">
        <f>'Methane Leakage'!$C$5*(($D$6+$D$7-$D$8-$D$9)/($D$16+$D$17)+((('Calcs - Power'!C192+'Calcs - Power'!D192+'Calcs - Power'!E192+'Calcs - Power'!F192)*($D$10+$D$11-$D$12-$D$13-$D$14-$D$15))/((102*'Calcs - Power'!B192)*($D$16+$D$17))))</f>
        <v>2.0000000000000052E-2</v>
      </c>
      <c r="C213" s="455">
        <f>'Methane Leakage'!$G$5*((($J$6+$J$7-$J$8)/$J$13)+((('Calcs - Transp'!$C192+'Calcs - Transp'!$D192+'Calcs - Transp'!$E192+'Calcs - Transp'!$F192)*($J$9+$J$10-$J$11-$J$12))/((102*'Calcs - Transp'!$B192)*$J$13)))</f>
        <v>2.8000000000000014E-2</v>
      </c>
      <c r="D213" s="455">
        <f>'Methane Leakage'!$G$5*((($P$6+$P$7-$P$8)/$P$13)+((('Calcs - Transp'!$C192+'Calcs - Transp'!$D192+'Calcs - Transp'!$E192+'Calcs - Transp'!$F192)*($P$9+$P$10-$P$11-$P$12))/((102*'Calcs - Transp'!$B192)*$P$13)))</f>
        <v>2.8000000000000014E-2</v>
      </c>
    </row>
    <row r="214" spans="1:4" x14ac:dyDescent="0.3">
      <c r="A214" s="358">
        <f t="shared" si="6"/>
        <v>182</v>
      </c>
      <c r="B214" s="455">
        <f>'Methane Leakage'!$C$5*(($D$6+$D$7-$D$8-$D$9)/($D$16+$D$17)+((('Calcs - Power'!C193+'Calcs - Power'!D193+'Calcs - Power'!E193+'Calcs - Power'!F193)*($D$10+$D$11-$D$12-$D$13-$D$14-$D$15))/((102*'Calcs - Power'!B193)*($D$16+$D$17))))</f>
        <v>2.0000000000000052E-2</v>
      </c>
      <c r="C214" s="455">
        <f>'Methane Leakage'!$G$5*((($J$6+$J$7-$J$8)/$J$13)+((('Calcs - Transp'!$C193+'Calcs - Transp'!$D193+'Calcs - Transp'!$E193+'Calcs - Transp'!$F193)*($J$9+$J$10-$J$11-$J$12))/((102*'Calcs - Transp'!$B193)*$J$13)))</f>
        <v>2.8000000000000014E-2</v>
      </c>
      <c r="D214" s="455">
        <f>'Methane Leakage'!$G$5*((($P$6+$P$7-$P$8)/$P$13)+((('Calcs - Transp'!$C193+'Calcs - Transp'!$D193+'Calcs - Transp'!$E193+'Calcs - Transp'!$F193)*($P$9+$P$10-$P$11-$P$12))/((102*'Calcs - Transp'!$B193)*$P$13)))</f>
        <v>2.8000000000000014E-2</v>
      </c>
    </row>
    <row r="215" spans="1:4" x14ac:dyDescent="0.3">
      <c r="A215" s="358">
        <f t="shared" si="6"/>
        <v>183</v>
      </c>
      <c r="B215" s="455">
        <f>'Methane Leakage'!$C$5*(($D$6+$D$7-$D$8-$D$9)/($D$16+$D$17)+((('Calcs - Power'!C194+'Calcs - Power'!D194+'Calcs - Power'!E194+'Calcs - Power'!F194)*($D$10+$D$11-$D$12-$D$13-$D$14-$D$15))/((102*'Calcs - Power'!B194)*($D$16+$D$17))))</f>
        <v>2.0000000000000052E-2</v>
      </c>
      <c r="C215" s="455">
        <f>'Methane Leakage'!$G$5*((($J$6+$J$7-$J$8)/$J$13)+((('Calcs - Transp'!$C194+'Calcs - Transp'!$D194+'Calcs - Transp'!$E194+'Calcs - Transp'!$F194)*($J$9+$J$10-$J$11-$J$12))/((102*'Calcs - Transp'!$B194)*$J$13)))</f>
        <v>2.8000000000000014E-2</v>
      </c>
      <c r="D215" s="455">
        <f>'Methane Leakage'!$G$5*((($P$6+$P$7-$P$8)/$P$13)+((('Calcs - Transp'!$C194+'Calcs - Transp'!$D194+'Calcs - Transp'!$E194+'Calcs - Transp'!$F194)*($P$9+$P$10-$P$11-$P$12))/((102*'Calcs - Transp'!$B194)*$P$13)))</f>
        <v>2.8000000000000014E-2</v>
      </c>
    </row>
    <row r="216" spans="1:4" x14ac:dyDescent="0.3">
      <c r="A216" s="358">
        <f t="shared" si="6"/>
        <v>184</v>
      </c>
      <c r="B216" s="455">
        <f>'Methane Leakage'!$C$5*(($D$6+$D$7-$D$8-$D$9)/($D$16+$D$17)+((('Calcs - Power'!C195+'Calcs - Power'!D195+'Calcs - Power'!E195+'Calcs - Power'!F195)*($D$10+$D$11-$D$12-$D$13-$D$14-$D$15))/((102*'Calcs - Power'!B195)*($D$16+$D$17))))</f>
        <v>2.0000000000000052E-2</v>
      </c>
      <c r="C216" s="455">
        <f>'Methane Leakage'!$G$5*((($J$6+$J$7-$J$8)/$J$13)+((('Calcs - Transp'!$C195+'Calcs - Transp'!$D195+'Calcs - Transp'!$E195+'Calcs - Transp'!$F195)*($J$9+$J$10-$J$11-$J$12))/((102*'Calcs - Transp'!$B195)*$J$13)))</f>
        <v>2.8000000000000014E-2</v>
      </c>
      <c r="D216" s="455">
        <f>'Methane Leakage'!$G$5*((($P$6+$P$7-$P$8)/$P$13)+((('Calcs - Transp'!$C195+'Calcs - Transp'!$D195+'Calcs - Transp'!$E195+'Calcs - Transp'!$F195)*($P$9+$P$10-$P$11-$P$12))/((102*'Calcs - Transp'!$B195)*$P$13)))</f>
        <v>2.8000000000000014E-2</v>
      </c>
    </row>
    <row r="217" spans="1:4" x14ac:dyDescent="0.3">
      <c r="A217" s="358">
        <f t="shared" si="6"/>
        <v>185</v>
      </c>
      <c r="B217" s="455">
        <f>'Methane Leakage'!$C$5*(($D$6+$D$7-$D$8-$D$9)/($D$16+$D$17)+((('Calcs - Power'!C196+'Calcs - Power'!D196+'Calcs - Power'!E196+'Calcs - Power'!F196)*($D$10+$D$11-$D$12-$D$13-$D$14-$D$15))/((102*'Calcs - Power'!B196)*($D$16+$D$17))))</f>
        <v>2.0000000000000052E-2</v>
      </c>
      <c r="C217" s="455">
        <f>'Methane Leakage'!$G$5*((($J$6+$J$7-$J$8)/$J$13)+((('Calcs - Transp'!$C196+'Calcs - Transp'!$D196+'Calcs - Transp'!$E196+'Calcs - Transp'!$F196)*($J$9+$J$10-$J$11-$J$12))/((102*'Calcs - Transp'!$B196)*$J$13)))</f>
        <v>2.8000000000000014E-2</v>
      </c>
      <c r="D217" s="455">
        <f>'Methane Leakage'!$G$5*((($P$6+$P$7-$P$8)/$P$13)+((('Calcs - Transp'!$C196+'Calcs - Transp'!$D196+'Calcs - Transp'!$E196+'Calcs - Transp'!$F196)*($P$9+$P$10-$P$11-$P$12))/((102*'Calcs - Transp'!$B196)*$P$13)))</f>
        <v>2.8000000000000014E-2</v>
      </c>
    </row>
    <row r="218" spans="1:4" x14ac:dyDescent="0.3">
      <c r="A218" s="358">
        <f t="shared" si="6"/>
        <v>186</v>
      </c>
      <c r="B218" s="455">
        <f>'Methane Leakage'!$C$5*(($D$6+$D$7-$D$8-$D$9)/($D$16+$D$17)+((('Calcs - Power'!C197+'Calcs - Power'!D197+'Calcs - Power'!E197+'Calcs - Power'!F197)*($D$10+$D$11-$D$12-$D$13-$D$14-$D$15))/((102*'Calcs - Power'!B197)*($D$16+$D$17))))</f>
        <v>2.0000000000000052E-2</v>
      </c>
      <c r="C218" s="455">
        <f>'Methane Leakage'!$G$5*((($J$6+$J$7-$J$8)/$J$13)+((('Calcs - Transp'!$C197+'Calcs - Transp'!$D197+'Calcs - Transp'!$E197+'Calcs - Transp'!$F197)*($J$9+$J$10-$J$11-$J$12))/((102*'Calcs - Transp'!$B197)*$J$13)))</f>
        <v>2.8000000000000014E-2</v>
      </c>
      <c r="D218" s="455">
        <f>'Methane Leakage'!$G$5*((($P$6+$P$7-$P$8)/$P$13)+((('Calcs - Transp'!$C197+'Calcs - Transp'!$D197+'Calcs - Transp'!$E197+'Calcs - Transp'!$F197)*($P$9+$P$10-$P$11-$P$12))/((102*'Calcs - Transp'!$B197)*$P$13)))</f>
        <v>2.8000000000000014E-2</v>
      </c>
    </row>
    <row r="219" spans="1:4" x14ac:dyDescent="0.3">
      <c r="A219" s="358">
        <f t="shared" si="6"/>
        <v>187</v>
      </c>
      <c r="B219" s="455">
        <f>'Methane Leakage'!$C$5*(($D$6+$D$7-$D$8-$D$9)/($D$16+$D$17)+((('Calcs - Power'!C198+'Calcs - Power'!D198+'Calcs - Power'!E198+'Calcs - Power'!F198)*($D$10+$D$11-$D$12-$D$13-$D$14-$D$15))/((102*'Calcs - Power'!B198)*($D$16+$D$17))))</f>
        <v>2.0000000000000052E-2</v>
      </c>
      <c r="C219" s="455">
        <f>'Methane Leakage'!$G$5*((($J$6+$J$7-$J$8)/$J$13)+((('Calcs - Transp'!$C198+'Calcs - Transp'!$D198+'Calcs - Transp'!$E198+'Calcs - Transp'!$F198)*($J$9+$J$10-$J$11-$J$12))/((102*'Calcs - Transp'!$B198)*$J$13)))</f>
        <v>2.8000000000000014E-2</v>
      </c>
      <c r="D219" s="455">
        <f>'Methane Leakage'!$G$5*((($P$6+$P$7-$P$8)/$P$13)+((('Calcs - Transp'!$C198+'Calcs - Transp'!$D198+'Calcs - Transp'!$E198+'Calcs - Transp'!$F198)*($P$9+$P$10-$P$11-$P$12))/((102*'Calcs - Transp'!$B198)*$P$13)))</f>
        <v>2.8000000000000014E-2</v>
      </c>
    </row>
    <row r="220" spans="1:4" x14ac:dyDescent="0.3">
      <c r="A220" s="358">
        <f t="shared" si="6"/>
        <v>188</v>
      </c>
      <c r="B220" s="455">
        <f>'Methane Leakage'!$C$5*(($D$6+$D$7-$D$8-$D$9)/($D$16+$D$17)+((('Calcs - Power'!C199+'Calcs - Power'!D199+'Calcs - Power'!E199+'Calcs - Power'!F199)*($D$10+$D$11-$D$12-$D$13-$D$14-$D$15))/((102*'Calcs - Power'!B199)*($D$16+$D$17))))</f>
        <v>2.0000000000000052E-2</v>
      </c>
      <c r="C220" s="455">
        <f>'Methane Leakage'!$G$5*((($J$6+$J$7-$J$8)/$J$13)+((('Calcs - Transp'!$C199+'Calcs - Transp'!$D199+'Calcs - Transp'!$E199+'Calcs - Transp'!$F199)*($J$9+$J$10-$J$11-$J$12))/((102*'Calcs - Transp'!$B199)*$J$13)))</f>
        <v>2.8000000000000014E-2</v>
      </c>
      <c r="D220" s="455">
        <f>'Methane Leakage'!$G$5*((($P$6+$P$7-$P$8)/$P$13)+((('Calcs - Transp'!$C199+'Calcs - Transp'!$D199+'Calcs - Transp'!$E199+'Calcs - Transp'!$F199)*($P$9+$P$10-$P$11-$P$12))/((102*'Calcs - Transp'!$B199)*$P$13)))</f>
        <v>2.8000000000000014E-2</v>
      </c>
    </row>
    <row r="221" spans="1:4" x14ac:dyDescent="0.3">
      <c r="A221" s="358">
        <f t="shared" si="6"/>
        <v>189</v>
      </c>
      <c r="B221" s="455">
        <f>'Methane Leakage'!$C$5*(($D$6+$D$7-$D$8-$D$9)/($D$16+$D$17)+((('Calcs - Power'!C200+'Calcs - Power'!D200+'Calcs - Power'!E200+'Calcs - Power'!F200)*($D$10+$D$11-$D$12-$D$13-$D$14-$D$15))/((102*'Calcs - Power'!B200)*($D$16+$D$17))))</f>
        <v>2.0000000000000052E-2</v>
      </c>
      <c r="C221" s="455">
        <f>'Methane Leakage'!$G$5*((($J$6+$J$7-$J$8)/$J$13)+((('Calcs - Transp'!$C200+'Calcs - Transp'!$D200+'Calcs - Transp'!$E200+'Calcs - Transp'!$F200)*($J$9+$J$10-$J$11-$J$12))/((102*'Calcs - Transp'!$B200)*$J$13)))</f>
        <v>2.8000000000000014E-2</v>
      </c>
      <c r="D221" s="455">
        <f>'Methane Leakage'!$G$5*((($P$6+$P$7-$P$8)/$P$13)+((('Calcs - Transp'!$C200+'Calcs - Transp'!$D200+'Calcs - Transp'!$E200+'Calcs - Transp'!$F200)*($P$9+$P$10-$P$11-$P$12))/((102*'Calcs - Transp'!$B200)*$P$13)))</f>
        <v>2.8000000000000014E-2</v>
      </c>
    </row>
    <row r="222" spans="1:4" x14ac:dyDescent="0.3">
      <c r="A222" s="358">
        <f t="shared" si="6"/>
        <v>190</v>
      </c>
      <c r="B222" s="455">
        <f>'Methane Leakage'!$C$5*(($D$6+$D$7-$D$8-$D$9)/($D$16+$D$17)+((('Calcs - Power'!C201+'Calcs - Power'!D201+'Calcs - Power'!E201+'Calcs - Power'!F201)*($D$10+$D$11-$D$12-$D$13-$D$14-$D$15))/((102*'Calcs - Power'!B201)*($D$16+$D$17))))</f>
        <v>2.0000000000000052E-2</v>
      </c>
      <c r="C222" s="455">
        <f>'Methane Leakage'!$G$5*((($J$6+$J$7-$J$8)/$J$13)+((('Calcs - Transp'!$C201+'Calcs - Transp'!$D201+'Calcs - Transp'!$E201+'Calcs - Transp'!$F201)*($J$9+$J$10-$J$11-$J$12))/((102*'Calcs - Transp'!$B201)*$J$13)))</f>
        <v>2.8000000000000014E-2</v>
      </c>
      <c r="D222" s="455">
        <f>'Methane Leakage'!$G$5*((($P$6+$P$7-$P$8)/$P$13)+((('Calcs - Transp'!$C201+'Calcs - Transp'!$D201+'Calcs - Transp'!$E201+'Calcs - Transp'!$F201)*($P$9+$P$10-$P$11-$P$12))/((102*'Calcs - Transp'!$B201)*$P$13)))</f>
        <v>2.8000000000000014E-2</v>
      </c>
    </row>
    <row r="223" spans="1:4" x14ac:dyDescent="0.3">
      <c r="A223" s="358">
        <f t="shared" si="6"/>
        <v>191</v>
      </c>
      <c r="B223" s="455">
        <f>'Methane Leakage'!$C$5*(($D$6+$D$7-$D$8-$D$9)/($D$16+$D$17)+((('Calcs - Power'!C202+'Calcs - Power'!D202+'Calcs - Power'!E202+'Calcs - Power'!F202)*($D$10+$D$11-$D$12-$D$13-$D$14-$D$15))/((102*'Calcs - Power'!B202)*($D$16+$D$17))))</f>
        <v>2.0000000000000052E-2</v>
      </c>
      <c r="C223" s="455">
        <f>'Methane Leakage'!$G$5*((($J$6+$J$7-$J$8)/$J$13)+((('Calcs - Transp'!$C202+'Calcs - Transp'!$D202+'Calcs - Transp'!$E202+'Calcs - Transp'!$F202)*($J$9+$J$10-$J$11-$J$12))/((102*'Calcs - Transp'!$B202)*$J$13)))</f>
        <v>2.8000000000000014E-2</v>
      </c>
      <c r="D223" s="455">
        <f>'Methane Leakage'!$G$5*((($P$6+$P$7-$P$8)/$P$13)+((('Calcs - Transp'!$C202+'Calcs - Transp'!$D202+'Calcs - Transp'!$E202+'Calcs - Transp'!$F202)*($P$9+$P$10-$P$11-$P$12))/((102*'Calcs - Transp'!$B202)*$P$13)))</f>
        <v>2.8000000000000014E-2</v>
      </c>
    </row>
    <row r="224" spans="1:4" x14ac:dyDescent="0.3">
      <c r="A224" s="358">
        <f t="shared" si="6"/>
        <v>192</v>
      </c>
      <c r="B224" s="455">
        <f>'Methane Leakage'!$C$5*(($D$6+$D$7-$D$8-$D$9)/($D$16+$D$17)+((('Calcs - Power'!C203+'Calcs - Power'!D203+'Calcs - Power'!E203+'Calcs - Power'!F203)*($D$10+$D$11-$D$12-$D$13-$D$14-$D$15))/((102*'Calcs - Power'!B203)*($D$16+$D$17))))</f>
        <v>2.0000000000000052E-2</v>
      </c>
      <c r="C224" s="455">
        <f>'Methane Leakage'!$G$5*((($J$6+$J$7-$J$8)/$J$13)+((('Calcs - Transp'!$C203+'Calcs - Transp'!$D203+'Calcs - Transp'!$E203+'Calcs - Transp'!$F203)*($J$9+$J$10-$J$11-$J$12))/((102*'Calcs - Transp'!$B203)*$J$13)))</f>
        <v>2.8000000000000014E-2</v>
      </c>
      <c r="D224" s="455">
        <f>'Methane Leakage'!$G$5*((($P$6+$P$7-$P$8)/$P$13)+((('Calcs - Transp'!$C203+'Calcs - Transp'!$D203+'Calcs - Transp'!$E203+'Calcs - Transp'!$F203)*($P$9+$P$10-$P$11-$P$12))/((102*'Calcs - Transp'!$B203)*$P$13)))</f>
        <v>2.8000000000000014E-2</v>
      </c>
    </row>
    <row r="225" spans="1:4" x14ac:dyDescent="0.3">
      <c r="A225" s="358">
        <f t="shared" si="6"/>
        <v>193</v>
      </c>
      <c r="B225" s="455">
        <f>'Methane Leakage'!$C$5*(($D$6+$D$7-$D$8-$D$9)/($D$16+$D$17)+((('Calcs - Power'!C204+'Calcs - Power'!D204+'Calcs - Power'!E204+'Calcs - Power'!F204)*($D$10+$D$11-$D$12-$D$13-$D$14-$D$15))/((102*'Calcs - Power'!B204)*($D$16+$D$17))))</f>
        <v>2.0000000000000052E-2</v>
      </c>
      <c r="C225" s="455">
        <f>'Methane Leakage'!$G$5*((($J$6+$J$7-$J$8)/$J$13)+((('Calcs - Transp'!$C204+'Calcs - Transp'!$D204+'Calcs - Transp'!$E204+'Calcs - Transp'!$F204)*($J$9+$J$10-$J$11-$J$12))/((102*'Calcs - Transp'!$B204)*$J$13)))</f>
        <v>2.8000000000000014E-2</v>
      </c>
      <c r="D225" s="455">
        <f>'Methane Leakage'!$G$5*((($P$6+$P$7-$P$8)/$P$13)+((('Calcs - Transp'!$C204+'Calcs - Transp'!$D204+'Calcs - Transp'!$E204+'Calcs - Transp'!$F204)*($P$9+$P$10-$P$11-$P$12))/((102*'Calcs - Transp'!$B204)*$P$13)))</f>
        <v>2.8000000000000014E-2</v>
      </c>
    </row>
    <row r="226" spans="1:4" x14ac:dyDescent="0.3">
      <c r="A226" s="358">
        <f t="shared" si="6"/>
        <v>194</v>
      </c>
      <c r="B226" s="455">
        <f>'Methane Leakage'!$C$5*(($D$6+$D$7-$D$8-$D$9)/($D$16+$D$17)+((('Calcs - Power'!C205+'Calcs - Power'!D205+'Calcs - Power'!E205+'Calcs - Power'!F205)*($D$10+$D$11-$D$12-$D$13-$D$14-$D$15))/((102*'Calcs - Power'!B205)*($D$16+$D$17))))</f>
        <v>2.0000000000000052E-2</v>
      </c>
      <c r="C226" s="455">
        <f>'Methane Leakage'!$G$5*((($J$6+$J$7-$J$8)/$J$13)+((('Calcs - Transp'!$C205+'Calcs - Transp'!$D205+'Calcs - Transp'!$E205+'Calcs - Transp'!$F205)*($J$9+$J$10-$J$11-$J$12))/((102*'Calcs - Transp'!$B205)*$J$13)))</f>
        <v>2.8000000000000014E-2</v>
      </c>
      <c r="D226" s="455">
        <f>'Methane Leakage'!$G$5*((($P$6+$P$7-$P$8)/$P$13)+((('Calcs - Transp'!$C205+'Calcs - Transp'!$D205+'Calcs - Transp'!$E205+'Calcs - Transp'!$F205)*($P$9+$P$10-$P$11-$P$12))/((102*'Calcs - Transp'!$B205)*$P$13)))</f>
        <v>2.8000000000000014E-2</v>
      </c>
    </row>
    <row r="227" spans="1:4" x14ac:dyDescent="0.3">
      <c r="A227" s="358">
        <f t="shared" ref="A227:A232" si="7">A226+1</f>
        <v>195</v>
      </c>
      <c r="B227" s="455">
        <f>'Methane Leakage'!$C$5*(($D$6+$D$7-$D$8-$D$9)/($D$16+$D$17)+((('Calcs - Power'!C206+'Calcs - Power'!D206+'Calcs - Power'!E206+'Calcs - Power'!F206)*($D$10+$D$11-$D$12-$D$13-$D$14-$D$15))/((102*'Calcs - Power'!B206)*($D$16+$D$17))))</f>
        <v>2.0000000000000052E-2</v>
      </c>
      <c r="C227" s="455">
        <f>'Methane Leakage'!$G$5*((($J$6+$J$7-$J$8)/$J$13)+((('Calcs - Transp'!$C206+'Calcs - Transp'!$D206+'Calcs - Transp'!$E206+'Calcs - Transp'!$F206)*($J$9+$J$10-$J$11-$J$12))/((102*'Calcs - Transp'!$B206)*$J$13)))</f>
        <v>2.8000000000000014E-2</v>
      </c>
      <c r="D227" s="455">
        <f>'Methane Leakage'!$G$5*((($P$6+$P$7-$P$8)/$P$13)+((('Calcs - Transp'!$C206+'Calcs - Transp'!$D206+'Calcs - Transp'!$E206+'Calcs - Transp'!$F206)*($P$9+$P$10-$P$11-$P$12))/((102*'Calcs - Transp'!$B206)*$P$13)))</f>
        <v>2.8000000000000014E-2</v>
      </c>
    </row>
    <row r="228" spans="1:4" x14ac:dyDescent="0.3">
      <c r="A228" s="358">
        <f t="shared" si="7"/>
        <v>196</v>
      </c>
      <c r="B228" s="455">
        <f>'Methane Leakage'!$C$5*(($D$6+$D$7-$D$8-$D$9)/($D$16+$D$17)+((('Calcs - Power'!C207+'Calcs - Power'!D207+'Calcs - Power'!E207+'Calcs - Power'!F207)*($D$10+$D$11-$D$12-$D$13-$D$14-$D$15))/((102*'Calcs - Power'!B207)*($D$16+$D$17))))</f>
        <v>2.0000000000000052E-2</v>
      </c>
      <c r="C228" s="455">
        <f>'Methane Leakage'!$G$5*((($J$6+$J$7-$J$8)/$J$13)+((('Calcs - Transp'!$C207+'Calcs - Transp'!$D207+'Calcs - Transp'!$E207+'Calcs - Transp'!$F207)*($J$9+$J$10-$J$11-$J$12))/((102*'Calcs - Transp'!$B207)*$J$13)))</f>
        <v>2.8000000000000014E-2</v>
      </c>
      <c r="D228" s="455">
        <f>'Methane Leakage'!$G$5*((($P$6+$P$7-$P$8)/$P$13)+((('Calcs - Transp'!$C207+'Calcs - Transp'!$D207+'Calcs - Transp'!$E207+'Calcs - Transp'!$F207)*($P$9+$P$10-$P$11-$P$12))/((102*'Calcs - Transp'!$B207)*$P$13)))</f>
        <v>2.8000000000000014E-2</v>
      </c>
    </row>
    <row r="229" spans="1:4" x14ac:dyDescent="0.3">
      <c r="A229" s="358">
        <f t="shared" si="7"/>
        <v>197</v>
      </c>
      <c r="B229" s="455">
        <f>'Methane Leakage'!$C$5*(($D$6+$D$7-$D$8-$D$9)/($D$16+$D$17)+((('Calcs - Power'!C208+'Calcs - Power'!D208+'Calcs - Power'!E208+'Calcs - Power'!F208)*($D$10+$D$11-$D$12-$D$13-$D$14-$D$15))/((102*'Calcs - Power'!B208)*($D$16+$D$17))))</f>
        <v>2.0000000000000052E-2</v>
      </c>
      <c r="C229" s="455">
        <f>'Methane Leakage'!$G$5*((($J$6+$J$7-$J$8)/$J$13)+((('Calcs - Transp'!$C208+'Calcs - Transp'!$D208+'Calcs - Transp'!$E208+'Calcs - Transp'!$F208)*($J$9+$J$10-$J$11-$J$12))/((102*'Calcs - Transp'!$B208)*$J$13)))</f>
        <v>2.8000000000000014E-2</v>
      </c>
      <c r="D229" s="455">
        <f>'Methane Leakage'!$G$5*((($P$6+$P$7-$P$8)/$P$13)+((('Calcs - Transp'!$C208+'Calcs - Transp'!$D208+'Calcs - Transp'!$E208+'Calcs - Transp'!$F208)*($P$9+$P$10-$P$11-$P$12))/((102*'Calcs - Transp'!$B208)*$P$13)))</f>
        <v>2.8000000000000014E-2</v>
      </c>
    </row>
    <row r="230" spans="1:4" x14ac:dyDescent="0.3">
      <c r="A230" s="358">
        <f t="shared" si="7"/>
        <v>198</v>
      </c>
      <c r="B230" s="455">
        <f>'Methane Leakage'!$C$5*(($D$6+$D$7-$D$8-$D$9)/($D$16+$D$17)+((('Calcs - Power'!C209+'Calcs - Power'!D209+'Calcs - Power'!E209+'Calcs - Power'!F209)*($D$10+$D$11-$D$12-$D$13-$D$14-$D$15))/((102*'Calcs - Power'!B209)*($D$16+$D$17))))</f>
        <v>2.0000000000000052E-2</v>
      </c>
      <c r="C230" s="455">
        <f>'Methane Leakage'!$G$5*((($J$6+$J$7-$J$8)/$J$13)+((('Calcs - Transp'!$C209+'Calcs - Transp'!$D209+'Calcs - Transp'!$E209+'Calcs - Transp'!$F209)*($J$9+$J$10-$J$11-$J$12))/((102*'Calcs - Transp'!$B209)*$J$13)))</f>
        <v>2.8000000000000014E-2</v>
      </c>
      <c r="D230" s="455">
        <f>'Methane Leakage'!$G$5*((($P$6+$P$7-$P$8)/$P$13)+((('Calcs - Transp'!$C209+'Calcs - Transp'!$D209+'Calcs - Transp'!$E209+'Calcs - Transp'!$F209)*($P$9+$P$10-$P$11-$P$12))/((102*'Calcs - Transp'!$B209)*$P$13)))</f>
        <v>2.8000000000000014E-2</v>
      </c>
    </row>
    <row r="231" spans="1:4" x14ac:dyDescent="0.3">
      <c r="A231" s="358">
        <f t="shared" si="7"/>
        <v>199</v>
      </c>
      <c r="B231" s="455">
        <f>'Methane Leakage'!$C$5*(($D$6+$D$7-$D$8-$D$9)/($D$16+$D$17)+((('Calcs - Power'!C210+'Calcs - Power'!D210+'Calcs - Power'!E210+'Calcs - Power'!F210)*($D$10+$D$11-$D$12-$D$13-$D$14-$D$15))/((102*'Calcs - Power'!B210)*($D$16+$D$17))))</f>
        <v>2.0000000000000052E-2</v>
      </c>
      <c r="C231" s="455">
        <f>'Methane Leakage'!$G$5*((($J$6+$J$7-$J$8)/$J$13)+((('Calcs - Transp'!$C210+'Calcs - Transp'!$D210+'Calcs - Transp'!$E210+'Calcs - Transp'!$F210)*($J$9+$J$10-$J$11-$J$12))/((102*'Calcs - Transp'!$B210)*$J$13)))</f>
        <v>2.8000000000000014E-2</v>
      </c>
      <c r="D231" s="455">
        <f>'Methane Leakage'!$G$5*((($P$6+$P$7-$P$8)/$P$13)+((('Calcs - Transp'!$C210+'Calcs - Transp'!$D210+'Calcs - Transp'!$E210+'Calcs - Transp'!$F210)*($P$9+$P$10-$P$11-$P$12))/((102*'Calcs - Transp'!$B210)*$P$13)))</f>
        <v>2.8000000000000014E-2</v>
      </c>
    </row>
    <row r="232" spans="1:4" ht="14.4" thickBot="1" x14ac:dyDescent="0.35">
      <c r="A232" s="375">
        <f t="shared" si="7"/>
        <v>200</v>
      </c>
      <c r="B232" s="456">
        <f>'Methane Leakage'!$C$5*(($D$6+$D$7-$D$8-$D$9)/($D$16+$D$17)+((('Calcs - Power'!C211+'Calcs - Power'!D211+'Calcs - Power'!E211+'Calcs - Power'!F211)*($D$10+$D$11-$D$12-$D$13-$D$14-$D$15))/((102*'Calcs - Power'!B211)*($D$16+$D$17))))</f>
        <v>2.0000000000000052E-2</v>
      </c>
      <c r="C232" s="456">
        <f>'Methane Leakage'!$G$5*((($J$6+$J$7-$J$8)/$J$13)+((('Calcs - Transp'!$C211+'Calcs - Transp'!$D211+'Calcs - Transp'!$E211+'Calcs - Transp'!$F211)*($J$9+$J$10-$J$11-$J$12))/((102*'Calcs - Transp'!$B211)*$J$13)))</f>
        <v>2.8000000000000014E-2</v>
      </c>
      <c r="D232" s="456">
        <f>'Methane Leakage'!$G$5*((($P$6+$P$7-$P$8)/$P$13)+((('Calcs - Transp'!$C211+'Calcs - Transp'!$D211+'Calcs - Transp'!$E211+'Calcs - Transp'!$F211)*($P$9+$P$10-$P$11-$P$12))/((102*'Calcs - Transp'!$B211)*$P$13)))</f>
        <v>2.8000000000000014E-2</v>
      </c>
    </row>
  </sheetData>
  <sheetProtection password="B467" sheet="1" objects="1" scenarios="1"/>
  <mergeCells count="4">
    <mergeCell ref="A22:A23"/>
    <mergeCell ref="B22:B23"/>
    <mergeCell ref="C22:C23"/>
    <mergeCell ref="D22:D23"/>
  </mergeCells>
  <pageMargins left="0.7" right="0.7" top="0.75" bottom="0.75" header="0.3" footer="0.3"/>
  <ignoredErrors>
    <ignoredError sqref="B15:B16 I10:I11 H12 O10:O11 N1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P211"/>
  <sheetViews>
    <sheetView zoomScaleNormal="100" workbookViewId="0"/>
  </sheetViews>
  <sheetFormatPr defaultColWidth="11" defaultRowHeight="13.8" x14ac:dyDescent="0.3"/>
  <cols>
    <col min="1" max="1" width="11" style="82"/>
    <col min="2" max="2" width="15" style="82" customWidth="1"/>
    <col min="3" max="3" width="11.7265625" style="82" customWidth="1"/>
    <col min="4" max="4" width="12.7265625" style="82" customWidth="1"/>
    <col min="5" max="5" width="13.7265625" style="82" customWidth="1"/>
    <col min="6" max="6" width="12.36328125" style="82" customWidth="1"/>
    <col min="7" max="7" width="12.26953125" style="82" customWidth="1"/>
    <col min="8" max="16384" width="11" style="82"/>
  </cols>
  <sheetData>
    <row r="1" spans="1:16" ht="58.5" customHeight="1" x14ac:dyDescent="0.3">
      <c r="A1" s="279" t="s">
        <v>0</v>
      </c>
      <c r="B1" s="280" t="s">
        <v>38</v>
      </c>
      <c r="C1" s="690" t="s">
        <v>39</v>
      </c>
      <c r="D1" s="691"/>
      <c r="E1" s="691"/>
      <c r="F1" s="692"/>
      <c r="G1" s="280" t="s">
        <v>2</v>
      </c>
      <c r="H1" s="690" t="s">
        <v>12</v>
      </c>
      <c r="I1" s="691"/>
      <c r="J1" s="691"/>
      <c r="K1" s="692"/>
      <c r="L1" s="280" t="s">
        <v>13</v>
      </c>
      <c r="M1" s="690" t="s">
        <v>15</v>
      </c>
      <c r="N1" s="691"/>
      <c r="O1" s="691"/>
      <c r="P1" s="691"/>
    </row>
    <row r="2" spans="1:16" ht="41.4" x14ac:dyDescent="0.3">
      <c r="A2" s="276"/>
      <c r="B2" s="281" t="s">
        <v>3</v>
      </c>
      <c r="C2" s="282" t="s">
        <v>1</v>
      </c>
      <c r="D2" s="283" t="s">
        <v>4</v>
      </c>
      <c r="E2" s="283" t="s">
        <v>5</v>
      </c>
      <c r="F2" s="284" t="s">
        <v>6</v>
      </c>
      <c r="G2" s="281" t="s">
        <v>7</v>
      </c>
      <c r="H2" s="282" t="s">
        <v>8</v>
      </c>
      <c r="I2" s="283" t="s">
        <v>9</v>
      </c>
      <c r="J2" s="283" t="s">
        <v>10</v>
      </c>
      <c r="K2" s="284" t="s">
        <v>11</v>
      </c>
      <c r="L2" s="281" t="s">
        <v>14</v>
      </c>
      <c r="M2" s="282" t="s">
        <v>14</v>
      </c>
      <c r="N2" s="283" t="s">
        <v>14</v>
      </c>
      <c r="O2" s="283" t="s">
        <v>14</v>
      </c>
      <c r="P2" s="283" t="s">
        <v>14</v>
      </c>
    </row>
    <row r="3" spans="1:16" x14ac:dyDescent="0.3">
      <c r="A3" s="276">
        <v>0.1</v>
      </c>
      <c r="B3" s="285">
        <f>12*A3-12*12*(1-EXP(-A3/12))</f>
        <v>4.9861399981390164E-3</v>
      </c>
      <c r="C3" s="286">
        <f>0.217*A3*A3/2</f>
        <v>1.085E-3</v>
      </c>
      <c r="D3" s="287">
        <f>0.259*(172.9*A3-172.9*172.9*(1-EXP(-A3/172.9)))</f>
        <v>1.2947503737372693E-3</v>
      </c>
      <c r="E3" s="287">
        <f>0.338*(18.51*A3-18.51*18.51*(1-EXP(-A3/18.51)))</f>
        <v>1.686960706078077E-3</v>
      </c>
      <c r="F3" s="288">
        <f>0.186*(1.186*A3-1.186*1.186*(1-EXP(-A3/1.186)))</f>
        <v>9.0440353330268751E-4</v>
      </c>
      <c r="G3" s="285">
        <f>12*(1-EXP(-A3/12))</f>
        <v>9.958448833348843E-2</v>
      </c>
      <c r="H3" s="286">
        <f>0.217*A3</f>
        <v>2.1700000000000001E-2</v>
      </c>
      <c r="I3" s="287">
        <f>0.259*172.9*(1-EXP(-A3/172.9))</f>
        <v>2.589251156521841E-2</v>
      </c>
      <c r="J3" s="287">
        <f>0.338*18.51*(1-EXP(-A3/18.51))</f>
        <v>3.370886219848309E-2</v>
      </c>
      <c r="K3" s="288">
        <f>0.186*1.186*(1-EXP(-A3/1.186))</f>
        <v>1.783743378305001E-2</v>
      </c>
      <c r="L3" s="285">
        <f>12*A3-12*12*(1-EXP(-A3/12))</f>
        <v>4.9861399981390164E-3</v>
      </c>
      <c r="M3" s="286">
        <f>0.217*A3*A3/2</f>
        <v>1.085E-3</v>
      </c>
      <c r="N3" s="287">
        <f>0.259*(172.9*A3-172.9*172.9*(1-EXP(-A3/172.9)))</f>
        <v>1.2947503737372693E-3</v>
      </c>
      <c r="O3" s="287">
        <f>0.338*(18.51*A3-18.51*18.51*(1-EXP(-A3/18.51)))</f>
        <v>1.686960706078077E-3</v>
      </c>
      <c r="P3" s="287">
        <f>0.186*(1.186*A3-1.186*1.186*(1-EXP(-A3/1.186)))</f>
        <v>9.0440353330268751E-4</v>
      </c>
    </row>
    <row r="4" spans="1:16" x14ac:dyDescent="0.3">
      <c r="A4" s="276">
        <f>0.1+A3</f>
        <v>0.2</v>
      </c>
      <c r="B4" s="285">
        <f t="shared" ref="B4:B67" si="0">12*A4-12*12*(1-EXP(-A4/12))</f>
        <v>1.9889350312919163E-2</v>
      </c>
      <c r="C4" s="286">
        <f>0.217*A4*A4/2</f>
        <v>4.3400000000000001E-3</v>
      </c>
      <c r="D4" s="287">
        <f t="shared" ref="D4:D67" si="1">0.259*(172.9*A4-172.9*172.9*(1-EXP(-A4/172.9)))</f>
        <v>5.1780032765654412E-3</v>
      </c>
      <c r="E4" s="287">
        <f t="shared" ref="E4:E67" si="2">0.338*(18.51*A4-18.51*18.51*(1-EXP(-A4/18.51)))</f>
        <v>6.7357184261090256E-3</v>
      </c>
      <c r="F4" s="288">
        <f t="shared" ref="F4:F67" si="3">0.186*(1.186*A4-1.186*1.186*(1-EXP(-A4/1.186)))</f>
        <v>3.5194202062005112E-3</v>
      </c>
      <c r="G4" s="285">
        <f t="shared" ref="G4:G67" si="4">12*(1-EXP(-A4/12))</f>
        <v>0.1983425541405901</v>
      </c>
      <c r="H4" s="286">
        <f t="shared" ref="H4:H67" si="5">0.217*A4</f>
        <v>4.3400000000000001E-2</v>
      </c>
      <c r="I4" s="287">
        <f t="shared" ref="I4:I67" si="6">0.259*172.9*(1-EXP(-A4/172.9))</f>
        <v>5.1770052034259315E-2</v>
      </c>
      <c r="J4" s="287">
        <f t="shared" ref="J4:J67" si="7">0.338*18.51*(1-EXP(-A4/18.51))</f>
        <v>6.7236103812743975E-2</v>
      </c>
      <c r="K4" s="288">
        <f t="shared" ref="K4:K67" si="8">0.186*1.186*(1-EXP(-A4/1.186))</f>
        <v>3.4232529337099062E-2</v>
      </c>
      <c r="L4" s="285">
        <f t="shared" ref="L4:L61" si="9">12*A4-12*12*(1-EXP(-A4/12))</f>
        <v>1.9889350312919163E-2</v>
      </c>
      <c r="M4" s="286">
        <f t="shared" ref="M4:M24" si="10">0.217*A4*A4/2</f>
        <v>4.3400000000000001E-3</v>
      </c>
      <c r="N4" s="287">
        <f t="shared" ref="N4:N24" si="11">0.259*(172.9*A4-172.9*172.9*(1-EXP(-A4/172.9)))</f>
        <v>5.1780032765654412E-3</v>
      </c>
      <c r="O4" s="287">
        <f t="shared" ref="O4:O24" si="12">0.338*(18.51*A4-18.51*18.51*(1-EXP(-A4/18.51)))</f>
        <v>6.7357184261090256E-3</v>
      </c>
      <c r="P4" s="287">
        <f t="shared" ref="P4:P24" si="13">0.186*(1.186*A4-1.186*1.186*(1-EXP(-A4/1.186)))</f>
        <v>3.5194202062005112E-3</v>
      </c>
    </row>
    <row r="5" spans="1:16" x14ac:dyDescent="0.3">
      <c r="A5" s="276">
        <f t="shared" ref="A5:A12" si="14">0.1+A4</f>
        <v>0.30000000000000004</v>
      </c>
      <c r="B5" s="285">
        <f t="shared" si="0"/>
        <v>4.4627332079897108E-2</v>
      </c>
      <c r="C5" s="286">
        <f>0.217*A5*A5/2</f>
        <v>9.7650000000000028E-3</v>
      </c>
      <c r="D5" s="287">
        <f t="shared" si="1"/>
        <v>1.1648262031996332E-2</v>
      </c>
      <c r="E5" s="287">
        <f t="shared" si="2"/>
        <v>1.5128160073579059E-2</v>
      </c>
      <c r="F5" s="288">
        <f t="shared" si="3"/>
        <v>7.7067295205613794E-3</v>
      </c>
      <c r="G5" s="285">
        <f t="shared" si="4"/>
        <v>0.29628105566000862</v>
      </c>
      <c r="H5" s="286">
        <f t="shared" si="5"/>
        <v>6.5100000000000005E-2</v>
      </c>
      <c r="I5" s="287">
        <f t="shared" si="6"/>
        <v>7.7632630063435543E-2</v>
      </c>
      <c r="J5" s="287">
        <f t="shared" si="7"/>
        <v>0.10058270339959058</v>
      </c>
      <c r="K5" s="288">
        <f t="shared" si="8"/>
        <v>4.9301914400875745E-2</v>
      </c>
      <c r="L5" s="285">
        <f t="shared" si="9"/>
        <v>4.4627332079897108E-2</v>
      </c>
      <c r="M5" s="286">
        <f t="shared" si="10"/>
        <v>9.7650000000000028E-3</v>
      </c>
      <c r="N5" s="287">
        <f t="shared" si="11"/>
        <v>1.1648262031996332E-2</v>
      </c>
      <c r="O5" s="287">
        <f t="shared" si="12"/>
        <v>1.5128160073579059E-2</v>
      </c>
      <c r="P5" s="287">
        <f t="shared" si="13"/>
        <v>7.7067295205613794E-3</v>
      </c>
    </row>
    <row r="6" spans="1:16" x14ac:dyDescent="0.3">
      <c r="A6" s="276">
        <f t="shared" si="14"/>
        <v>0.4</v>
      </c>
      <c r="B6" s="285">
        <f t="shared" si="0"/>
        <v>7.91184694088507E-2</v>
      </c>
      <c r="C6" s="286">
        <f t="shared" ref="C6:C69" si="15">0.217*A6*A6/2</f>
        <v>1.736E-2</v>
      </c>
      <c r="D6" s="287">
        <f t="shared" si="1"/>
        <v>2.0704030829166341E-2</v>
      </c>
      <c r="E6" s="287">
        <f t="shared" si="2"/>
        <v>2.6846270153753373E-2</v>
      </c>
      <c r="F6" s="288">
        <f t="shared" si="3"/>
        <v>1.3339195599580288E-2</v>
      </c>
      <c r="G6" s="285">
        <f t="shared" si="4"/>
        <v>0.39340679421592917</v>
      </c>
      <c r="H6" s="286">
        <f t="shared" si="5"/>
        <v>8.6800000000000002E-2</v>
      </c>
      <c r="I6" s="287">
        <f t="shared" si="6"/>
        <v>0.10348025430405343</v>
      </c>
      <c r="J6" s="287">
        <f t="shared" si="7"/>
        <v>0.13374963424344932</v>
      </c>
      <c r="K6" s="288">
        <f t="shared" si="8"/>
        <v>6.3152786172360628E-2</v>
      </c>
      <c r="L6" s="285">
        <f t="shared" si="9"/>
        <v>7.91184694088507E-2</v>
      </c>
      <c r="M6" s="286">
        <f t="shared" si="10"/>
        <v>1.736E-2</v>
      </c>
      <c r="N6" s="287">
        <f t="shared" si="11"/>
        <v>2.0704030829166341E-2</v>
      </c>
      <c r="O6" s="287">
        <f t="shared" si="12"/>
        <v>2.6846270153753373E-2</v>
      </c>
      <c r="P6" s="287">
        <f t="shared" si="13"/>
        <v>1.3339195599580288E-2</v>
      </c>
    </row>
    <row r="7" spans="1:16" x14ac:dyDescent="0.3">
      <c r="A7" s="276">
        <f t="shared" si="14"/>
        <v>0.5</v>
      </c>
      <c r="B7" s="285">
        <f t="shared" si="0"/>
        <v>0.12328182371589591</v>
      </c>
      <c r="C7" s="286">
        <f t="shared" si="15"/>
        <v>2.7125E-2</v>
      </c>
      <c r="D7" s="287">
        <f t="shared" si="1"/>
        <v>3.2343814721968754E-2</v>
      </c>
      <c r="E7" s="287">
        <f t="shared" si="2"/>
        <v>4.1872130237969755E-2</v>
      </c>
      <c r="F7" s="288">
        <f t="shared" si="3"/>
        <v>2.029996279720879E-2</v>
      </c>
      <c r="G7" s="285">
        <f t="shared" si="4"/>
        <v>0.48972651469034201</v>
      </c>
      <c r="H7" s="286">
        <f t="shared" si="5"/>
        <v>0.1085</v>
      </c>
      <c r="I7" s="287">
        <f t="shared" si="6"/>
        <v>0.12931293340241776</v>
      </c>
      <c r="J7" s="287">
        <f t="shared" si="7"/>
        <v>0.16673786438476665</v>
      </c>
      <c r="K7" s="288">
        <f t="shared" si="8"/>
        <v>7.588367386407352E-2</v>
      </c>
      <c r="L7" s="285">
        <f t="shared" si="9"/>
        <v>0.12328182371589591</v>
      </c>
      <c r="M7" s="286">
        <f t="shared" si="10"/>
        <v>2.7125E-2</v>
      </c>
      <c r="N7" s="287">
        <f t="shared" si="11"/>
        <v>3.2343814721968754E-2</v>
      </c>
      <c r="O7" s="287">
        <f t="shared" si="12"/>
        <v>4.1872130237969755E-2</v>
      </c>
      <c r="P7" s="287">
        <f t="shared" si="13"/>
        <v>2.029996279720879E-2</v>
      </c>
    </row>
    <row r="8" spans="1:16" x14ac:dyDescent="0.3">
      <c r="A8" s="276">
        <f t="shared" si="14"/>
        <v>0.6</v>
      </c>
      <c r="B8" s="285">
        <f t="shared" si="0"/>
        <v>0.17703712810281758</v>
      </c>
      <c r="C8" s="286">
        <f t="shared" si="15"/>
        <v>3.9059999999999991E-2</v>
      </c>
      <c r="D8" s="287">
        <f t="shared" si="1"/>
        <v>4.6566119626496628E-2</v>
      </c>
      <c r="E8" s="287">
        <f t="shared" si="2"/>
        <v>6.0187918440547467E-2</v>
      </c>
      <c r="F8" s="288">
        <f t="shared" si="3"/>
        <v>2.8481624436774759E-2</v>
      </c>
      <c r="G8" s="285">
        <f t="shared" si="4"/>
        <v>0.58524690599143181</v>
      </c>
      <c r="H8" s="286">
        <f t="shared" si="5"/>
        <v>0.13019999999999998</v>
      </c>
      <c r="I8" s="287">
        <f t="shared" si="6"/>
        <v>0.15513067599984673</v>
      </c>
      <c r="J8" s="287">
        <f t="shared" si="7"/>
        <v>0.19954835664826864</v>
      </c>
      <c r="K8" s="288">
        <f t="shared" si="8"/>
        <v>8.7585139597997658E-2</v>
      </c>
      <c r="L8" s="285">
        <f t="shared" si="9"/>
        <v>0.17703712810281758</v>
      </c>
      <c r="M8" s="286">
        <f t="shared" si="10"/>
        <v>3.9059999999999991E-2</v>
      </c>
      <c r="N8" s="287">
        <f t="shared" si="11"/>
        <v>4.6566119626496628E-2</v>
      </c>
      <c r="O8" s="287">
        <f t="shared" si="12"/>
        <v>6.0187918440547467E-2</v>
      </c>
      <c r="P8" s="287">
        <f t="shared" si="13"/>
        <v>2.8481624436774759E-2</v>
      </c>
    </row>
    <row r="9" spans="1:16" x14ac:dyDescent="0.3">
      <c r="A9" s="276">
        <f t="shared" si="14"/>
        <v>0.7</v>
      </c>
      <c r="B9" s="285">
        <f t="shared" si="0"/>
        <v>0.24030478178286963</v>
      </c>
      <c r="C9" s="286">
        <f t="shared" si="15"/>
        <v>5.316499999999999E-2</v>
      </c>
      <c r="D9" s="287">
        <f t="shared" si="1"/>
        <v>6.3369452326184614E-2</v>
      </c>
      <c r="E9" s="287">
        <f t="shared" si="2"/>
        <v>8.1775908898674407E-2</v>
      </c>
      <c r="F9" s="288">
        <f t="shared" si="3"/>
        <v>3.7785458765553157E-2</v>
      </c>
      <c r="G9" s="285">
        <f t="shared" si="4"/>
        <v>0.67997460151809408</v>
      </c>
      <c r="H9" s="286">
        <f t="shared" si="5"/>
        <v>0.15189999999999998</v>
      </c>
      <c r="I9" s="287">
        <f t="shared" si="6"/>
        <v>0.18093349073264209</v>
      </c>
      <c r="J9" s="287">
        <f t="shared" si="7"/>
        <v>0.23218206867106028</v>
      </c>
      <c r="K9" s="288">
        <f t="shared" si="8"/>
        <v>9.834042262600913E-2</v>
      </c>
      <c r="L9" s="285">
        <f t="shared" si="9"/>
        <v>0.24030478178286963</v>
      </c>
      <c r="M9" s="286">
        <f t="shared" si="10"/>
        <v>5.316499999999999E-2</v>
      </c>
      <c r="N9" s="287">
        <f t="shared" si="11"/>
        <v>6.3369452326184614E-2</v>
      </c>
      <c r="O9" s="287">
        <f t="shared" si="12"/>
        <v>8.1775908898674407E-2</v>
      </c>
      <c r="P9" s="287">
        <f t="shared" si="13"/>
        <v>3.7785458765553157E-2</v>
      </c>
    </row>
    <row r="10" spans="1:16" x14ac:dyDescent="0.3">
      <c r="A10" s="276">
        <f t="shared" si="14"/>
        <v>0.79999999999999993</v>
      </c>
      <c r="B10" s="285">
        <f t="shared" si="0"/>
        <v>0.31300584455295954</v>
      </c>
      <c r="C10" s="286">
        <f t="shared" si="15"/>
        <v>6.9439999999999988E-2</v>
      </c>
      <c r="D10" s="287">
        <f t="shared" si="1"/>
        <v>8.2752320465778267E-2</v>
      </c>
      <c r="E10" s="287">
        <f t="shared" si="2"/>
        <v>0.10661847125502331</v>
      </c>
      <c r="F10" s="288">
        <f t="shared" si="3"/>
        <v>4.8120726690192336E-2</v>
      </c>
      <c r="G10" s="285">
        <f t="shared" si="4"/>
        <v>0.77391617962058668</v>
      </c>
      <c r="H10" s="286">
        <f t="shared" si="5"/>
        <v>0.17359999999999998</v>
      </c>
      <c r="I10" s="287">
        <f t="shared" si="6"/>
        <v>0.20672138623212388</v>
      </c>
      <c r="J10" s="287">
        <f t="shared" si="7"/>
        <v>0.26463995293057679</v>
      </c>
      <c r="K10" s="288">
        <f t="shared" si="8"/>
        <v>0.10822603145852246</v>
      </c>
      <c r="L10" s="285">
        <f t="shared" si="9"/>
        <v>0.31300584455295954</v>
      </c>
      <c r="M10" s="286">
        <f t="shared" si="10"/>
        <v>6.9439999999999988E-2</v>
      </c>
      <c r="N10" s="287">
        <f t="shared" si="11"/>
        <v>8.2752320465778267E-2</v>
      </c>
      <c r="O10" s="287">
        <f t="shared" si="12"/>
        <v>0.10661847125502331</v>
      </c>
      <c r="P10" s="287">
        <f t="shared" si="13"/>
        <v>4.8120726690192336E-2</v>
      </c>
    </row>
    <row r="11" spans="1:16" x14ac:dyDescent="0.3">
      <c r="A11" s="276">
        <f t="shared" si="14"/>
        <v>0.89999999999999991</v>
      </c>
      <c r="B11" s="285">
        <f t="shared" si="0"/>
        <v>0.39506203131161044</v>
      </c>
      <c r="C11" s="286">
        <f t="shared" si="15"/>
        <v>8.7884999999999977E-2</v>
      </c>
      <c r="D11" s="287">
        <f t="shared" si="1"/>
        <v>0.10471323255222109</v>
      </c>
      <c r="E11" s="287">
        <f t="shared" si="2"/>
        <v>0.13469807014320578</v>
      </c>
      <c r="F11" s="288">
        <f t="shared" si="3"/>
        <v>5.9404026297385795E-2</v>
      </c>
      <c r="G11" s="285">
        <f t="shared" si="4"/>
        <v>0.86707816405736571</v>
      </c>
      <c r="H11" s="286">
        <f t="shared" si="5"/>
        <v>0.19529999999999997</v>
      </c>
      <c r="I11" s="287">
        <f t="shared" si="6"/>
        <v>0.23249437112462562</v>
      </c>
      <c r="J11" s="287">
        <f t="shared" si="7"/>
        <v>0.29692295677238223</v>
      </c>
      <c r="K11" s="288">
        <f t="shared" si="8"/>
        <v>0.11731228811350269</v>
      </c>
      <c r="L11" s="285">
        <f t="shared" si="9"/>
        <v>0.39506203131161044</v>
      </c>
      <c r="M11" s="286">
        <f t="shared" si="10"/>
        <v>8.7884999999999977E-2</v>
      </c>
      <c r="N11" s="287">
        <f t="shared" si="11"/>
        <v>0.10471323255222109</v>
      </c>
      <c r="O11" s="287">
        <f t="shared" si="12"/>
        <v>0.13469807014320578</v>
      </c>
      <c r="P11" s="287">
        <f t="shared" si="13"/>
        <v>5.9404026297385795E-2</v>
      </c>
    </row>
    <row r="12" spans="1:16" x14ac:dyDescent="0.3">
      <c r="A12" s="276">
        <f t="shared" si="14"/>
        <v>0.99999999999999989</v>
      </c>
      <c r="B12" s="285">
        <f t="shared" si="0"/>
        <v>0.48639570662255238</v>
      </c>
      <c r="C12" s="286">
        <f t="shared" si="15"/>
        <v>0.10849999999999997</v>
      </c>
      <c r="D12" s="287">
        <f t="shared" si="1"/>
        <v>0.12925069795723093</v>
      </c>
      <c r="E12" s="287">
        <f t="shared" si="2"/>
        <v>0.16599726467591852</v>
      </c>
      <c r="F12" s="288">
        <f t="shared" si="3"/>
        <v>7.1558699568122233E-2</v>
      </c>
      <c r="G12" s="285">
        <f t="shared" si="4"/>
        <v>0.95946702444812049</v>
      </c>
      <c r="H12" s="286">
        <f t="shared" si="5"/>
        <v>0.21699999999999997</v>
      </c>
      <c r="I12" s="287">
        <f t="shared" si="6"/>
        <v>0.25825245403147928</v>
      </c>
      <c r="J12" s="287">
        <f t="shared" si="7"/>
        <v>0.32903202243782176</v>
      </c>
      <c r="K12" s="288">
        <f t="shared" si="8"/>
        <v>0.12566382835740111</v>
      </c>
      <c r="L12" s="285">
        <f t="shared" si="9"/>
        <v>0.48639570662255238</v>
      </c>
      <c r="M12" s="286">
        <f t="shared" si="10"/>
        <v>0.10849999999999997</v>
      </c>
      <c r="N12" s="287">
        <f t="shared" si="11"/>
        <v>0.12925069795723093</v>
      </c>
      <c r="O12" s="287">
        <f t="shared" si="12"/>
        <v>0.16599726467591852</v>
      </c>
      <c r="P12" s="287">
        <f t="shared" si="13"/>
        <v>7.1558699568122233E-2</v>
      </c>
    </row>
    <row r="13" spans="1:16" x14ac:dyDescent="0.3">
      <c r="A13" s="276">
        <f>A12+1</f>
        <v>2</v>
      </c>
      <c r="B13" s="285">
        <f t="shared" si="0"/>
        <v>1.8933683842484328</v>
      </c>
      <c r="C13" s="286">
        <f t="shared" si="15"/>
        <v>0.434</v>
      </c>
      <c r="D13" s="287">
        <f t="shared" si="1"/>
        <v>0.51600846160340474</v>
      </c>
      <c r="E13" s="287">
        <f t="shared" si="2"/>
        <v>0.65229651689481738</v>
      </c>
      <c r="F13" s="288">
        <f t="shared" si="3"/>
        <v>0.22801738707946156</v>
      </c>
      <c r="G13" s="285">
        <f t="shared" si="4"/>
        <v>1.8422193013126305</v>
      </c>
      <c r="H13" s="286">
        <f t="shared" si="5"/>
        <v>0.434</v>
      </c>
      <c r="I13" s="287">
        <f t="shared" si="6"/>
        <v>0.51501556702369333</v>
      </c>
      <c r="J13" s="287">
        <f t="shared" si="7"/>
        <v>0.64075977758536928</v>
      </c>
      <c r="K13" s="288">
        <f t="shared" si="8"/>
        <v>0.17974250667836289</v>
      </c>
      <c r="L13" s="285">
        <f t="shared" si="9"/>
        <v>1.8933683842484328</v>
      </c>
      <c r="M13" s="286">
        <f t="shared" si="10"/>
        <v>0.434</v>
      </c>
      <c r="N13" s="287">
        <f t="shared" si="11"/>
        <v>0.51600846160340474</v>
      </c>
      <c r="O13" s="287">
        <f t="shared" si="12"/>
        <v>0.65229651689481738</v>
      </c>
      <c r="P13" s="287">
        <f t="shared" si="13"/>
        <v>0.22801738707946156</v>
      </c>
    </row>
    <row r="14" spans="1:16" x14ac:dyDescent="0.3">
      <c r="A14" s="276">
        <f t="shared" ref="A14:A77" si="16">A13+1</f>
        <v>3</v>
      </c>
      <c r="B14" s="285">
        <f t="shared" si="0"/>
        <v>4.1473127622823043</v>
      </c>
      <c r="C14" s="286">
        <f t="shared" si="15"/>
        <v>0.97650000000000003</v>
      </c>
      <c r="D14" s="287">
        <f t="shared" si="1"/>
        <v>1.158788248550825</v>
      </c>
      <c r="E14" s="287">
        <f t="shared" si="2"/>
        <v>1.4420526144574988</v>
      </c>
      <c r="F14" s="288">
        <f t="shared" si="3"/>
        <v>0.42101227754951298</v>
      </c>
      <c r="G14" s="285">
        <f t="shared" si="4"/>
        <v>2.6543906031431415</v>
      </c>
      <c r="H14" s="286">
        <f t="shared" si="5"/>
        <v>0.65100000000000002</v>
      </c>
      <c r="I14" s="287">
        <f t="shared" si="6"/>
        <v>0.77029792800144115</v>
      </c>
      <c r="J14" s="287">
        <f t="shared" si="7"/>
        <v>0.93609332174729898</v>
      </c>
      <c r="K14" s="288">
        <f t="shared" si="8"/>
        <v>0.20301494304425546</v>
      </c>
      <c r="L14" s="285">
        <f t="shared" si="9"/>
        <v>4.1473127622823043</v>
      </c>
      <c r="M14" s="286">
        <f t="shared" si="10"/>
        <v>0.97650000000000003</v>
      </c>
      <c r="N14" s="287">
        <f t="shared" si="11"/>
        <v>1.158788248550825</v>
      </c>
      <c r="O14" s="287">
        <f t="shared" si="12"/>
        <v>1.4420526144574988</v>
      </c>
      <c r="P14" s="287">
        <f t="shared" si="13"/>
        <v>0.42101227754951298</v>
      </c>
    </row>
    <row r="15" spans="1:16" x14ac:dyDescent="0.3">
      <c r="A15" s="276">
        <f t="shared" si="16"/>
        <v>4</v>
      </c>
      <c r="B15" s="285">
        <f t="shared" si="0"/>
        <v>7.1805087226256532</v>
      </c>
      <c r="C15" s="286">
        <f t="shared" si="15"/>
        <v>1.736</v>
      </c>
      <c r="D15" s="287">
        <f t="shared" si="1"/>
        <v>2.0561135806460444</v>
      </c>
      <c r="E15" s="287">
        <f t="shared" si="2"/>
        <v>2.5193063254205574</v>
      </c>
      <c r="F15" s="288">
        <f t="shared" si="3"/>
        <v>0.62973030484183357</v>
      </c>
      <c r="G15" s="285">
        <f t="shared" si="4"/>
        <v>3.4016242731145288</v>
      </c>
      <c r="H15" s="286">
        <f t="shared" si="5"/>
        <v>0.86799999999999999</v>
      </c>
      <c r="I15" s="287">
        <f t="shared" si="6"/>
        <v>1.024108076456645</v>
      </c>
      <c r="J15" s="287">
        <f t="shared" si="7"/>
        <v>1.2158948500583169</v>
      </c>
      <c r="K15" s="288">
        <f t="shared" si="8"/>
        <v>0.21303009709794807</v>
      </c>
      <c r="L15" s="285">
        <f t="shared" si="9"/>
        <v>7.1805087226256532</v>
      </c>
      <c r="M15" s="286">
        <f t="shared" si="10"/>
        <v>1.736</v>
      </c>
      <c r="N15" s="287">
        <f t="shared" si="11"/>
        <v>2.0561135806460444</v>
      </c>
      <c r="O15" s="287">
        <f t="shared" si="12"/>
        <v>2.5193063254205574</v>
      </c>
      <c r="P15" s="287">
        <f t="shared" si="13"/>
        <v>0.62973030484183357</v>
      </c>
    </row>
    <row r="16" spans="1:16" x14ac:dyDescent="0.3">
      <c r="A16" s="276">
        <f t="shared" si="16"/>
        <v>5</v>
      </c>
      <c r="B16" s="285">
        <f t="shared" si="0"/>
        <v>10.930650748863904</v>
      </c>
      <c r="C16" s="286">
        <f t="shared" si="15"/>
        <v>2.7124999999999999</v>
      </c>
      <c r="D16" s="287">
        <f t="shared" si="1"/>
        <v>3.206516494582194</v>
      </c>
      <c r="E16" s="287">
        <f t="shared" si="2"/>
        <v>3.8689377368018638</v>
      </c>
      <c r="F16" s="288">
        <f t="shared" si="3"/>
        <v>0.84521469019854201</v>
      </c>
      <c r="G16" s="285">
        <f t="shared" si="4"/>
        <v>4.0891124375946752</v>
      </c>
      <c r="H16" s="286">
        <f t="shared" si="5"/>
        <v>1.085</v>
      </c>
      <c r="I16" s="287">
        <f t="shared" si="6"/>
        <v>1.2764545026339953</v>
      </c>
      <c r="J16" s="287">
        <f t="shared" si="7"/>
        <v>1.4809812135709424</v>
      </c>
      <c r="K16" s="288">
        <f t="shared" si="8"/>
        <v>0.2173400588545176</v>
      </c>
      <c r="L16" s="285">
        <f t="shared" si="9"/>
        <v>10.930650748863904</v>
      </c>
      <c r="M16" s="286">
        <f t="shared" si="10"/>
        <v>2.7124999999999999</v>
      </c>
      <c r="N16" s="287">
        <f t="shared" si="11"/>
        <v>3.206516494582194</v>
      </c>
      <c r="O16" s="287">
        <f t="shared" si="12"/>
        <v>3.8689377368018638</v>
      </c>
      <c r="P16" s="287">
        <f t="shared" si="13"/>
        <v>0.84521469019854201</v>
      </c>
    </row>
    <row r="17" spans="1:16" x14ac:dyDescent="0.3">
      <c r="A17" s="276">
        <f t="shared" si="16"/>
        <v>6</v>
      </c>
      <c r="B17" s="285">
        <f t="shared" si="0"/>
        <v>15.34041499861921</v>
      </c>
      <c r="C17" s="286">
        <f t="shared" si="15"/>
        <v>3.9060000000000001</v>
      </c>
      <c r="D17" s="287">
        <f t="shared" si="1"/>
        <v>4.6085374927894298</v>
      </c>
      <c r="E17" s="287">
        <f t="shared" si="2"/>
        <v>5.4766221135892286</v>
      </c>
      <c r="F17" s="288">
        <f t="shared" si="3"/>
        <v>1.0636109373531244</v>
      </c>
      <c r="G17" s="285">
        <f t="shared" si="4"/>
        <v>4.7216320834483989</v>
      </c>
      <c r="H17" s="286">
        <f t="shared" si="5"/>
        <v>1.302</v>
      </c>
      <c r="I17" s="287">
        <f t="shared" si="6"/>
        <v>1.5273456478149829</v>
      </c>
      <c r="J17" s="287">
        <f t="shared" si="7"/>
        <v>1.732126303966006</v>
      </c>
      <c r="K17" s="288">
        <f t="shared" si="8"/>
        <v>0.2191948251659997</v>
      </c>
      <c r="L17" s="285">
        <f t="shared" si="9"/>
        <v>15.34041499861921</v>
      </c>
      <c r="M17" s="286">
        <f t="shared" si="10"/>
        <v>3.9060000000000001</v>
      </c>
      <c r="N17" s="287">
        <f t="shared" si="11"/>
        <v>4.6085374927894298</v>
      </c>
      <c r="O17" s="287">
        <f t="shared" si="12"/>
        <v>5.4766221135892286</v>
      </c>
      <c r="P17" s="287">
        <f t="shared" si="13"/>
        <v>1.0636109373531244</v>
      </c>
    </row>
    <row r="18" spans="1:16" x14ac:dyDescent="0.3">
      <c r="A18" s="276">
        <f t="shared" si="16"/>
        <v>7</v>
      </c>
      <c r="B18" s="285">
        <f t="shared" si="0"/>
        <v>20.357060990886779</v>
      </c>
      <c r="C18" s="286">
        <f t="shared" si="15"/>
        <v>5.3164999999999996</v>
      </c>
      <c r="D18" s="287">
        <f t="shared" si="1"/>
        <v>6.260725494617926</v>
      </c>
      <c r="E18" s="287">
        <f t="shared" si="2"/>
        <v>7.328788079187305</v>
      </c>
      <c r="F18" s="288">
        <f t="shared" si="3"/>
        <v>1.283260286848616</v>
      </c>
      <c r="G18" s="285">
        <f t="shared" si="4"/>
        <v>5.3035782507594345</v>
      </c>
      <c r="H18" s="286">
        <f t="shared" si="5"/>
        <v>1.5189999999999999</v>
      </c>
      <c r="I18" s="287">
        <f t="shared" si="6"/>
        <v>1.7767899046002431</v>
      </c>
      <c r="J18" s="287">
        <f t="shared" si="7"/>
        <v>1.970063312847796</v>
      </c>
      <c r="K18" s="288">
        <f t="shared" si="8"/>
        <v>0.21999301277519714</v>
      </c>
      <c r="L18" s="285">
        <f t="shared" si="9"/>
        <v>20.357060990886779</v>
      </c>
      <c r="M18" s="286">
        <f t="shared" si="10"/>
        <v>5.3164999999999996</v>
      </c>
      <c r="N18" s="287">
        <f t="shared" si="11"/>
        <v>6.260725494617926</v>
      </c>
      <c r="O18" s="287">
        <f t="shared" si="12"/>
        <v>7.328788079187305</v>
      </c>
      <c r="P18" s="287">
        <f t="shared" si="13"/>
        <v>1.283260286848616</v>
      </c>
    </row>
    <row r="19" spans="1:16" x14ac:dyDescent="0.3">
      <c r="A19" s="276">
        <f t="shared" si="16"/>
        <v>8</v>
      </c>
      <c r="B19" s="285">
        <f t="shared" si="0"/>
        <v>25.932065140693254</v>
      </c>
      <c r="C19" s="286">
        <f t="shared" si="15"/>
        <v>6.944</v>
      </c>
      <c r="D19" s="287">
        <f t="shared" si="1"/>
        <v>8.1616377877925519</v>
      </c>
      <c r="E19" s="287">
        <f t="shared" si="2"/>
        <v>9.4125779952148871</v>
      </c>
      <c r="F19" s="288">
        <f t="shared" si="3"/>
        <v>1.5034489014555017</v>
      </c>
      <c r="G19" s="285">
        <f t="shared" si="4"/>
        <v>5.8389945716088958</v>
      </c>
      <c r="H19" s="286">
        <f t="shared" si="5"/>
        <v>1.736</v>
      </c>
      <c r="I19" s="287">
        <f t="shared" si="6"/>
        <v>2.0247956171903265</v>
      </c>
      <c r="J19" s="287">
        <f t="shared" si="7"/>
        <v>2.1954868722196177</v>
      </c>
      <c r="K19" s="288">
        <f t="shared" si="8"/>
        <v>0.22033650804763785</v>
      </c>
      <c r="L19" s="285">
        <f t="shared" si="9"/>
        <v>25.932065140693254</v>
      </c>
      <c r="M19" s="286">
        <f t="shared" si="10"/>
        <v>6.944</v>
      </c>
      <c r="N19" s="287">
        <f t="shared" si="11"/>
        <v>8.1616377877925519</v>
      </c>
      <c r="O19" s="287">
        <f t="shared" si="12"/>
        <v>9.4125779952148871</v>
      </c>
      <c r="P19" s="287">
        <f t="shared" si="13"/>
        <v>1.5034489014555017</v>
      </c>
    </row>
    <row r="20" spans="1:16" x14ac:dyDescent="0.3">
      <c r="A20" s="276">
        <f t="shared" si="16"/>
        <v>9</v>
      </c>
      <c r="B20" s="285">
        <f t="shared" si="0"/>
        <v>32.020783594706117</v>
      </c>
      <c r="C20" s="286">
        <f t="shared" si="15"/>
        <v>8.7885000000000009</v>
      </c>
      <c r="D20" s="287">
        <f t="shared" si="1"/>
        <v>10.309839980157676</v>
      </c>
      <c r="E20" s="287">
        <f t="shared" si="2"/>
        <v>11.715810424985808</v>
      </c>
      <c r="F20" s="288">
        <f t="shared" si="3"/>
        <v>1.7238695855836639</v>
      </c>
      <c r="G20" s="285">
        <f t="shared" si="4"/>
        <v>6.3316013671078242</v>
      </c>
      <c r="H20" s="286">
        <f t="shared" si="5"/>
        <v>1.9530000000000001</v>
      </c>
      <c r="I20" s="287">
        <f t="shared" si="6"/>
        <v>2.2713710816647907</v>
      </c>
      <c r="J20" s="287">
        <f t="shared" si="7"/>
        <v>2.4090550823886656</v>
      </c>
      <c r="K20" s="288">
        <f t="shared" si="8"/>
        <v>0.22048432918746705</v>
      </c>
      <c r="L20" s="285">
        <f t="shared" si="9"/>
        <v>32.020783594706117</v>
      </c>
      <c r="M20" s="286">
        <f t="shared" si="10"/>
        <v>8.7885000000000009</v>
      </c>
      <c r="N20" s="287">
        <f t="shared" si="11"/>
        <v>10.309839980157676</v>
      </c>
      <c r="O20" s="287">
        <f t="shared" si="12"/>
        <v>11.715810424985808</v>
      </c>
      <c r="P20" s="287">
        <f t="shared" si="13"/>
        <v>1.7238695855836639</v>
      </c>
    </row>
    <row r="21" spans="1:16" x14ac:dyDescent="0.3">
      <c r="A21" s="276">
        <f t="shared" si="16"/>
        <v>10</v>
      </c>
      <c r="B21" s="285">
        <f t="shared" si="0"/>
        <v>38.582142025019266</v>
      </c>
      <c r="C21" s="286">
        <f t="shared" si="15"/>
        <v>10.85</v>
      </c>
      <c r="D21" s="287">
        <f t="shared" si="1"/>
        <v>12.703905951691501</v>
      </c>
      <c r="E21" s="287">
        <f t="shared" si="2"/>
        <v>14.226944571089112</v>
      </c>
      <c r="F21" s="288">
        <f t="shared" si="3"/>
        <v>1.9443901394448539</v>
      </c>
      <c r="G21" s="285">
        <f t="shared" si="4"/>
        <v>6.7848214979150612</v>
      </c>
      <c r="H21" s="286">
        <f t="shared" si="5"/>
        <v>2.17</v>
      </c>
      <c r="I21" s="287">
        <f t="shared" si="6"/>
        <v>2.5165245462597365</v>
      </c>
      <c r="J21" s="287">
        <f t="shared" si="7"/>
        <v>2.61139143322047</v>
      </c>
      <c r="K21" s="288">
        <f t="shared" si="8"/>
        <v>0.22054794313250081</v>
      </c>
      <c r="L21" s="285">
        <f t="shared" si="9"/>
        <v>38.582142025019266</v>
      </c>
      <c r="M21" s="286">
        <f t="shared" si="10"/>
        <v>10.85</v>
      </c>
      <c r="N21" s="287">
        <f t="shared" si="11"/>
        <v>12.703905951691501</v>
      </c>
      <c r="O21" s="287">
        <f t="shared" si="12"/>
        <v>14.226944571089112</v>
      </c>
      <c r="P21" s="287">
        <f t="shared" si="13"/>
        <v>1.9443901394448539</v>
      </c>
    </row>
    <row r="22" spans="1:16" x14ac:dyDescent="0.3">
      <c r="A22" s="276">
        <f t="shared" si="16"/>
        <v>11</v>
      </c>
      <c r="B22" s="285">
        <f t="shared" si="0"/>
        <v>45.578350225658014</v>
      </c>
      <c r="C22" s="286">
        <f t="shared" si="15"/>
        <v>13.128500000000001</v>
      </c>
      <c r="D22" s="287">
        <f t="shared" si="1"/>
        <v>15.342417806798924</v>
      </c>
      <c r="E22" s="287">
        <f t="shared" si="2"/>
        <v>16.935046583248273</v>
      </c>
      <c r="F22" s="288">
        <f t="shared" si="3"/>
        <v>2.1649536716494304</v>
      </c>
      <c r="G22" s="285">
        <f t="shared" si="4"/>
        <v>7.2018041478618322</v>
      </c>
      <c r="H22" s="286">
        <f t="shared" si="5"/>
        <v>2.387</v>
      </c>
      <c r="I22" s="287">
        <f t="shared" si="6"/>
        <v>2.7602642116437308</v>
      </c>
      <c r="J22" s="287">
        <f t="shared" si="7"/>
        <v>2.8030866243517956</v>
      </c>
      <c r="K22" s="288">
        <f t="shared" si="8"/>
        <v>0.22057531901397107</v>
      </c>
      <c r="L22" s="285">
        <f t="shared" si="9"/>
        <v>45.578350225658014</v>
      </c>
      <c r="M22" s="286">
        <f t="shared" si="10"/>
        <v>13.128500000000001</v>
      </c>
      <c r="N22" s="287">
        <f t="shared" si="11"/>
        <v>15.342417806798924</v>
      </c>
      <c r="O22" s="287">
        <f t="shared" si="12"/>
        <v>16.935046583248273</v>
      </c>
      <c r="P22" s="287">
        <f t="shared" si="13"/>
        <v>2.1649536716494304</v>
      </c>
    </row>
    <row r="23" spans="1:16" x14ac:dyDescent="0.3">
      <c r="A23" s="276">
        <f t="shared" si="16"/>
        <v>12</v>
      </c>
      <c r="B23" s="285">
        <f t="shared" si="0"/>
        <v>52.974639528687703</v>
      </c>
      <c r="C23" s="286">
        <f t="shared" si="15"/>
        <v>15.624000000000001</v>
      </c>
      <c r="D23" s="287">
        <f t="shared" si="1"/>
        <v>18.223965826889234</v>
      </c>
      <c r="E23" s="287">
        <f t="shared" si="2"/>
        <v>19.829757638098389</v>
      </c>
      <c r="F23" s="288">
        <f t="shared" si="3"/>
        <v>2.3855356993275021</v>
      </c>
      <c r="G23" s="285">
        <f t="shared" si="4"/>
        <v>7.585446705942692</v>
      </c>
      <c r="H23" s="286">
        <f t="shared" si="5"/>
        <v>2.6040000000000001</v>
      </c>
      <c r="I23" s="287">
        <f t="shared" si="6"/>
        <v>3.0025982311920809</v>
      </c>
      <c r="J23" s="287">
        <f t="shared" si="7"/>
        <v>2.9847002896759385</v>
      </c>
      <c r="K23" s="288">
        <f t="shared" si="8"/>
        <v>0.22058710006112786</v>
      </c>
      <c r="L23" s="285">
        <f t="shared" si="9"/>
        <v>52.974639528687703</v>
      </c>
      <c r="M23" s="286">
        <f t="shared" si="10"/>
        <v>15.624000000000001</v>
      </c>
      <c r="N23" s="287">
        <f t="shared" si="11"/>
        <v>18.223965826889234</v>
      </c>
      <c r="O23" s="287">
        <f t="shared" si="12"/>
        <v>19.829757638098389</v>
      </c>
      <c r="P23" s="287">
        <f t="shared" si="13"/>
        <v>2.3855356993275021</v>
      </c>
    </row>
    <row r="24" spans="1:16" x14ac:dyDescent="0.3">
      <c r="A24" s="276">
        <f t="shared" si="16"/>
        <v>13</v>
      </c>
      <c r="B24" s="285">
        <f t="shared" si="0"/>
        <v>60.739021215370883</v>
      </c>
      <c r="C24" s="286">
        <f t="shared" si="15"/>
        <v>18.336500000000001</v>
      </c>
      <c r="D24" s="287">
        <f t="shared" si="1"/>
        <v>21.34714842320966</v>
      </c>
      <c r="E24" s="287">
        <f t="shared" si="2"/>
        <v>22.901263697693913</v>
      </c>
      <c r="F24" s="288">
        <f t="shared" si="3"/>
        <v>2.6061256864221751</v>
      </c>
      <c r="G24" s="285">
        <f t="shared" si="4"/>
        <v>7.9384148987190928</v>
      </c>
      <c r="H24" s="286">
        <f t="shared" si="5"/>
        <v>2.8210000000000002</v>
      </c>
      <c r="I24" s="287">
        <f t="shared" si="6"/>
        <v>3.2435347112596324</v>
      </c>
      <c r="J24" s="287">
        <f t="shared" si="7"/>
        <v>3.1567626311348516</v>
      </c>
      <c r="K24" s="288">
        <f t="shared" si="8"/>
        <v>0.22059216996443898</v>
      </c>
      <c r="L24" s="285">
        <f t="shared" si="9"/>
        <v>60.739021215370883</v>
      </c>
      <c r="M24" s="286">
        <f t="shared" si="10"/>
        <v>18.336500000000001</v>
      </c>
      <c r="N24" s="287">
        <f t="shared" si="11"/>
        <v>21.34714842320966</v>
      </c>
      <c r="O24" s="287">
        <f t="shared" si="12"/>
        <v>22.901263697693913</v>
      </c>
      <c r="P24" s="287">
        <f t="shared" si="13"/>
        <v>2.6061256864221751</v>
      </c>
    </row>
    <row r="25" spans="1:16" x14ac:dyDescent="0.3">
      <c r="A25" s="276">
        <f t="shared" si="16"/>
        <v>14</v>
      </c>
      <c r="B25" s="285">
        <f t="shared" si="0"/>
        <v>68.842064243702055</v>
      </c>
      <c r="C25" s="286">
        <f t="shared" si="15"/>
        <v>21.265999999999998</v>
      </c>
      <c r="D25" s="287">
        <f t="shared" si="1"/>
        <v>24.710572089966369</v>
      </c>
      <c r="E25" s="287">
        <f t="shared" si="2"/>
        <v>26.140266858459899</v>
      </c>
      <c r="F25" s="288">
        <f t="shared" si="3"/>
        <v>2.8267190988042645</v>
      </c>
      <c r="G25" s="285">
        <f t="shared" si="4"/>
        <v>8.2631613130248276</v>
      </c>
      <c r="H25" s="286">
        <f t="shared" si="5"/>
        <v>3.0379999999999998</v>
      </c>
      <c r="I25" s="287">
        <f t="shared" si="6"/>
        <v>3.4830817114519004</v>
      </c>
      <c r="J25" s="287">
        <f t="shared" si="7"/>
        <v>3.3197759665877968</v>
      </c>
      <c r="K25" s="288">
        <f t="shared" si="8"/>
        <v>0.2205943517670616</v>
      </c>
      <c r="L25" s="285">
        <f t="shared" si="9"/>
        <v>68.842064243702055</v>
      </c>
      <c r="M25" s="286">
        <f t="shared" ref="M25:M61" si="17">0.217*A25*A25/2</f>
        <v>21.265999999999998</v>
      </c>
      <c r="N25" s="287">
        <f t="shared" ref="N25:N61" si="18">0.259*(172.9*A25-172.9*172.9*(1-EXP(-A25/172.9)))</f>
        <v>24.710572089966369</v>
      </c>
      <c r="O25" s="287">
        <f t="shared" ref="O25:O61" si="19">0.338*(18.51*A25-18.51*18.51*(1-EXP(-A25/18.51)))</f>
        <v>26.140266858459899</v>
      </c>
      <c r="P25" s="287">
        <f t="shared" ref="P25:P61" si="20">0.186*(1.186*A25-1.186*1.186*(1-EXP(-A25/1.186)))</f>
        <v>2.8267190988042645</v>
      </c>
    </row>
    <row r="26" spans="1:16" x14ac:dyDescent="0.3">
      <c r="A26" s="276">
        <f t="shared" si="16"/>
        <v>15</v>
      </c>
      <c r="B26" s="285">
        <f t="shared" si="0"/>
        <v>77.256690747867381</v>
      </c>
      <c r="C26" s="286">
        <f t="shared" si="15"/>
        <v>24.412499999999998</v>
      </c>
      <c r="D26" s="287">
        <f t="shared" si="1"/>
        <v>28.312851357709917</v>
      </c>
      <c r="E26" s="287">
        <f t="shared" si="2"/>
        <v>29.537958206943095</v>
      </c>
      <c r="F26" s="288">
        <f t="shared" si="3"/>
        <v>3.0473139852383451</v>
      </c>
      <c r="G26" s="285">
        <f t="shared" si="4"/>
        <v>8.5619424376777182</v>
      </c>
      <c r="H26" s="286">
        <f t="shared" si="5"/>
        <v>3.2549999999999999</v>
      </c>
      <c r="I26" s="287">
        <f t="shared" si="6"/>
        <v>3.7212472448946796</v>
      </c>
      <c r="J26" s="287">
        <f t="shared" si="7"/>
        <v>3.4742161962753606</v>
      </c>
      <c r="K26" s="288">
        <f t="shared" si="8"/>
        <v>0.2205952906927949</v>
      </c>
      <c r="L26" s="285">
        <f t="shared" si="9"/>
        <v>77.256690747867381</v>
      </c>
      <c r="M26" s="286">
        <f t="shared" si="17"/>
        <v>24.412499999999998</v>
      </c>
      <c r="N26" s="287">
        <f t="shared" si="18"/>
        <v>28.312851357709917</v>
      </c>
      <c r="O26" s="287">
        <f t="shared" si="19"/>
        <v>29.537958206943095</v>
      </c>
      <c r="P26" s="287">
        <f t="shared" si="20"/>
        <v>3.0473139852383451</v>
      </c>
    </row>
    <row r="27" spans="1:16" x14ac:dyDescent="0.3">
      <c r="A27" s="276">
        <f t="shared" si="16"/>
        <v>16</v>
      </c>
      <c r="B27" s="285">
        <f t="shared" si="0"/>
        <v>85.957987888664647</v>
      </c>
      <c r="C27" s="286">
        <f t="shared" si="15"/>
        <v>27.776</v>
      </c>
      <c r="D27" s="287">
        <f t="shared" si="1"/>
        <v>32.152608746987937</v>
      </c>
      <c r="E27" s="287">
        <f t="shared" si="2"/>
        <v>33.08599210311818</v>
      </c>
      <c r="F27" s="288">
        <f t="shared" si="3"/>
        <v>3.2679095060218994</v>
      </c>
      <c r="G27" s="285">
        <f t="shared" si="4"/>
        <v>8.8368343426112794</v>
      </c>
      <c r="H27" s="286">
        <f t="shared" si="5"/>
        <v>3.472</v>
      </c>
      <c r="I27" s="287">
        <f t="shared" si="6"/>
        <v>3.9580392785020941</v>
      </c>
      <c r="J27" s="287">
        <f t="shared" si="7"/>
        <v>3.6205341921600129</v>
      </c>
      <c r="K27" s="288">
        <f t="shared" si="8"/>
        <v>0.22059569475387886</v>
      </c>
      <c r="L27" s="285">
        <f t="shared" si="9"/>
        <v>85.957987888664647</v>
      </c>
      <c r="M27" s="286">
        <f t="shared" si="17"/>
        <v>27.776</v>
      </c>
      <c r="N27" s="287">
        <f t="shared" si="18"/>
        <v>32.152608746987937</v>
      </c>
      <c r="O27" s="287">
        <f t="shared" si="19"/>
        <v>33.08599210311818</v>
      </c>
      <c r="P27" s="287">
        <f t="shared" si="20"/>
        <v>3.2679095060218994</v>
      </c>
    </row>
    <row r="28" spans="1:16" x14ac:dyDescent="0.3">
      <c r="A28" s="276">
        <f t="shared" si="16"/>
        <v>17</v>
      </c>
      <c r="B28" s="285">
        <f t="shared" si="0"/>
        <v>94.923034747533407</v>
      </c>
      <c r="C28" s="286">
        <f t="shared" si="15"/>
        <v>31.3565</v>
      </c>
      <c r="D28" s="287">
        <f t="shared" si="1"/>
        <v>36.228474722266235</v>
      </c>
      <c r="E28" s="287">
        <f t="shared" si="2"/>
        <v>36.776461816171881</v>
      </c>
      <c r="F28" s="288">
        <f t="shared" si="3"/>
        <v>3.488505299793963</v>
      </c>
      <c r="G28" s="285">
        <f t="shared" si="4"/>
        <v>9.0897471043722167</v>
      </c>
      <c r="H28" s="286">
        <f t="shared" si="5"/>
        <v>3.6890000000000001</v>
      </c>
      <c r="I28" s="287">
        <f t="shared" si="6"/>
        <v>4.1934657332431104</v>
      </c>
      <c r="J28" s="287">
        <f t="shared" si="7"/>
        <v>3.7591571141992501</v>
      </c>
      <c r="K28" s="288">
        <f t="shared" si="8"/>
        <v>0.22059586863915406</v>
      </c>
      <c r="L28" s="285">
        <f t="shared" si="9"/>
        <v>94.923034747533407</v>
      </c>
      <c r="M28" s="286">
        <f t="shared" si="17"/>
        <v>31.3565</v>
      </c>
      <c r="N28" s="287">
        <f t="shared" si="18"/>
        <v>36.228474722266235</v>
      </c>
      <c r="O28" s="287">
        <f t="shared" si="19"/>
        <v>36.776461816171881</v>
      </c>
      <c r="P28" s="287">
        <f t="shared" si="20"/>
        <v>3.488505299793963</v>
      </c>
    </row>
    <row r="29" spans="1:16" x14ac:dyDescent="0.3">
      <c r="A29" s="276">
        <f t="shared" si="16"/>
        <v>18</v>
      </c>
      <c r="B29" s="285">
        <f t="shared" si="0"/>
        <v>104.13074306137389</v>
      </c>
      <c r="C29" s="286">
        <f t="shared" si="15"/>
        <v>35.154000000000003</v>
      </c>
      <c r="D29" s="287">
        <f t="shared" si="1"/>
        <v>40.539087646119839</v>
      </c>
      <c r="E29" s="287">
        <f t="shared" si="2"/>
        <v>40.601876441636286</v>
      </c>
      <c r="F29" s="288">
        <f t="shared" si="3"/>
        <v>3.7091012110450019</v>
      </c>
      <c r="G29" s="285">
        <f t="shared" si="4"/>
        <v>9.322438078218843</v>
      </c>
      <c r="H29" s="286">
        <f t="shared" si="5"/>
        <v>3.9060000000000001</v>
      </c>
      <c r="I29" s="287">
        <f t="shared" si="6"/>
        <v>4.427534484406479</v>
      </c>
      <c r="J29" s="287">
        <f t="shared" si="7"/>
        <v>3.8904896573940424</v>
      </c>
      <c r="K29" s="288">
        <f t="shared" si="8"/>
        <v>0.22059594346964417</v>
      </c>
      <c r="L29" s="285">
        <f t="shared" si="9"/>
        <v>104.13074306137389</v>
      </c>
      <c r="M29" s="286">
        <f t="shared" si="17"/>
        <v>35.154000000000003</v>
      </c>
      <c r="N29" s="287">
        <f t="shared" si="18"/>
        <v>40.539087646119839</v>
      </c>
      <c r="O29" s="287">
        <f t="shared" si="19"/>
        <v>40.601876441636286</v>
      </c>
      <c r="P29" s="287">
        <f t="shared" si="20"/>
        <v>3.7091012110450019</v>
      </c>
    </row>
    <row r="30" spans="1:16" x14ac:dyDescent="0.3">
      <c r="A30" s="276">
        <f t="shared" si="16"/>
        <v>19</v>
      </c>
      <c r="B30" s="285">
        <f t="shared" si="0"/>
        <v>113.56171069150693</v>
      </c>
      <c r="C30" s="286">
        <f t="shared" si="15"/>
        <v>39.168500000000002</v>
      </c>
      <c r="D30" s="287">
        <f t="shared" si="1"/>
        <v>45.083093733679156</v>
      </c>
      <c r="E30" s="287">
        <f t="shared" si="2"/>
        <v>44.555139032483211</v>
      </c>
      <c r="F30" s="288">
        <f t="shared" si="3"/>
        <v>3.9296971728524159</v>
      </c>
      <c r="G30" s="285">
        <f t="shared" si="4"/>
        <v>9.536524109041089</v>
      </c>
      <c r="H30" s="286">
        <f t="shared" si="5"/>
        <v>4.1230000000000002</v>
      </c>
      <c r="I30" s="287">
        <f t="shared" si="6"/>
        <v>4.6602533618642035</v>
      </c>
      <c r="J30" s="287">
        <f t="shared" si="7"/>
        <v>4.0149152332532045</v>
      </c>
      <c r="K30" s="288">
        <f t="shared" si="8"/>
        <v>0.22059597567249883</v>
      </c>
      <c r="L30" s="285">
        <f t="shared" si="9"/>
        <v>113.56171069150693</v>
      </c>
      <c r="M30" s="286">
        <f t="shared" si="17"/>
        <v>39.168500000000002</v>
      </c>
      <c r="N30" s="287">
        <f t="shared" si="18"/>
        <v>45.083093733679156</v>
      </c>
      <c r="O30" s="287">
        <f t="shared" si="19"/>
        <v>44.555139032483211</v>
      </c>
      <c r="P30" s="287">
        <f t="shared" si="20"/>
        <v>3.9296971728524159</v>
      </c>
    </row>
    <row r="31" spans="1:16" x14ac:dyDescent="0.3">
      <c r="A31" s="276">
        <f t="shared" si="16"/>
        <v>20</v>
      </c>
      <c r="B31" s="285">
        <f t="shared" si="0"/>
        <v>123.19808680860889</v>
      </c>
      <c r="C31" s="286">
        <f t="shared" si="15"/>
        <v>43.4</v>
      </c>
      <c r="D31" s="287">
        <f t="shared" si="1"/>
        <v>49.85914700735011</v>
      </c>
      <c r="E31" s="287">
        <f t="shared" si="2"/>
        <v>48.629525880335798</v>
      </c>
      <c r="F31" s="288">
        <f t="shared" si="3"/>
        <v>4.1502931564164642</v>
      </c>
      <c r="G31" s="285">
        <f t="shared" si="4"/>
        <v>9.7334927659492578</v>
      </c>
      <c r="H31" s="286">
        <f t="shared" si="5"/>
        <v>4.34</v>
      </c>
      <c r="I31" s="287">
        <f t="shared" si="6"/>
        <v>4.8916301503334285</v>
      </c>
      <c r="J31" s="287">
        <f t="shared" si="7"/>
        <v>4.1327970891228647</v>
      </c>
      <c r="K31" s="288">
        <f t="shared" si="8"/>
        <v>0.22059598953080511</v>
      </c>
      <c r="L31" s="285">
        <f t="shared" si="9"/>
        <v>123.19808680860889</v>
      </c>
      <c r="M31" s="286">
        <f t="shared" si="17"/>
        <v>43.4</v>
      </c>
      <c r="N31" s="287">
        <f t="shared" si="18"/>
        <v>49.85914700735011</v>
      </c>
      <c r="O31" s="287">
        <f t="shared" si="19"/>
        <v>48.629525880335798</v>
      </c>
      <c r="P31" s="287">
        <f t="shared" si="20"/>
        <v>4.1502931564164642</v>
      </c>
    </row>
    <row r="32" spans="1:16" x14ac:dyDescent="0.3">
      <c r="A32" s="276">
        <f t="shared" si="16"/>
        <v>21</v>
      </c>
      <c r="B32" s="285">
        <f t="shared" si="0"/>
        <v>133.0234478568641</v>
      </c>
      <c r="C32" s="286">
        <f t="shared" si="15"/>
        <v>47.848500000000001</v>
      </c>
      <c r="D32" s="287">
        <f t="shared" si="1"/>
        <v>54.865909251786292</v>
      </c>
      <c r="E32" s="287">
        <f t="shared" si="2"/>
        <v>52.818666886311242</v>
      </c>
      <c r="F32" s="288">
        <f t="shared" si="3"/>
        <v>4.370889149343351</v>
      </c>
      <c r="G32" s="285">
        <f t="shared" si="4"/>
        <v>9.9147126785946575</v>
      </c>
      <c r="H32" s="286">
        <f t="shared" si="5"/>
        <v>4.5570000000000004</v>
      </c>
      <c r="I32" s="287">
        <f t="shared" si="6"/>
        <v>5.1216725896368631</v>
      </c>
      <c r="J32" s="287">
        <f t="shared" si="7"/>
        <v>4.2444793686487721</v>
      </c>
      <c r="K32" s="288">
        <f t="shared" si="8"/>
        <v>0.22059599549464448</v>
      </c>
      <c r="L32" s="285">
        <f t="shared" si="9"/>
        <v>133.0234478568641</v>
      </c>
      <c r="M32" s="286">
        <f t="shared" si="17"/>
        <v>47.848500000000001</v>
      </c>
      <c r="N32" s="287">
        <f t="shared" si="18"/>
        <v>54.865909251786292</v>
      </c>
      <c r="O32" s="287">
        <f t="shared" si="19"/>
        <v>52.818666886311242</v>
      </c>
      <c r="P32" s="287">
        <f t="shared" si="20"/>
        <v>4.370889149343351</v>
      </c>
    </row>
    <row r="33" spans="1:16" x14ac:dyDescent="0.3">
      <c r="A33" s="276">
        <f t="shared" si="16"/>
        <v>22</v>
      </c>
      <c r="B33" s="285">
        <f t="shared" si="0"/>
        <v>143.02268343547593</v>
      </c>
      <c r="C33" s="286">
        <f t="shared" si="15"/>
        <v>52.514000000000003</v>
      </c>
      <c r="D33" s="287">
        <f t="shared" si="1"/>
        <v>60.102049969124593</v>
      </c>
      <c r="E33" s="287">
        <f t="shared" si="2"/>
        <v>57.116526964188687</v>
      </c>
      <c r="F33" s="288">
        <f t="shared" si="3"/>
        <v>4.5914851462994797</v>
      </c>
      <c r="G33" s="285">
        <f t="shared" si="4"/>
        <v>10.081443047043674</v>
      </c>
      <c r="H33" s="286">
        <f t="shared" si="5"/>
        <v>4.774</v>
      </c>
      <c r="I33" s="287">
        <f t="shared" si="6"/>
        <v>5.3503883749616854</v>
      </c>
      <c r="J33" s="287">
        <f t="shared" si="7"/>
        <v>4.3502881164673868</v>
      </c>
      <c r="K33" s="288">
        <f t="shared" si="8"/>
        <v>0.22059599806114713</v>
      </c>
      <c r="L33" s="285">
        <f t="shared" si="9"/>
        <v>143.02268343547593</v>
      </c>
      <c r="M33" s="286">
        <f t="shared" si="17"/>
        <v>52.514000000000003</v>
      </c>
      <c r="N33" s="287">
        <f t="shared" si="18"/>
        <v>60.102049969124593</v>
      </c>
      <c r="O33" s="287">
        <f t="shared" si="19"/>
        <v>57.116526964188687</v>
      </c>
      <c r="P33" s="287">
        <f t="shared" si="20"/>
        <v>4.5914851462994797</v>
      </c>
    </row>
    <row r="34" spans="1:16" x14ac:dyDescent="0.3">
      <c r="A34" s="276">
        <f t="shared" si="16"/>
        <v>23</v>
      </c>
      <c r="B34" s="285">
        <f t="shared" si="0"/>
        <v>153.18189130458865</v>
      </c>
      <c r="C34" s="286">
        <f t="shared" si="15"/>
        <v>57.396499999999996</v>
      </c>
      <c r="D34" s="287">
        <f t="shared" si="1"/>
        <v>65.566246334477626</v>
      </c>
      <c r="E34" s="287">
        <f t="shared" si="2"/>
        <v>61.517388421611606</v>
      </c>
      <c r="F34" s="288">
        <f t="shared" si="3"/>
        <v>4.8120811449895671</v>
      </c>
      <c r="G34" s="285">
        <f t="shared" si="4"/>
        <v>10.234842391284278</v>
      </c>
      <c r="H34" s="286">
        <f t="shared" si="5"/>
        <v>4.9909999999999997</v>
      </c>
      <c r="I34" s="287">
        <f t="shared" si="6"/>
        <v>5.5777851571169599</v>
      </c>
      <c r="J34" s="287">
        <f t="shared" si="7"/>
        <v>4.4505322300588013</v>
      </c>
      <c r="K34" s="288">
        <f t="shared" si="8"/>
        <v>0.22059599916562622</v>
      </c>
      <c r="L34" s="285">
        <f t="shared" si="9"/>
        <v>153.18189130458865</v>
      </c>
      <c r="M34" s="286">
        <f t="shared" si="17"/>
        <v>57.396499999999996</v>
      </c>
      <c r="N34" s="287">
        <f t="shared" si="18"/>
        <v>65.566246334477626</v>
      </c>
      <c r="O34" s="287">
        <f t="shared" si="19"/>
        <v>61.517388421611606</v>
      </c>
      <c r="P34" s="287">
        <f t="shared" si="20"/>
        <v>4.8120811449895671</v>
      </c>
    </row>
    <row r="35" spans="1:16" x14ac:dyDescent="0.3">
      <c r="A35" s="276">
        <f t="shared" si="16"/>
        <v>24</v>
      </c>
      <c r="B35" s="285">
        <f t="shared" si="0"/>
        <v>163.48828078607221</v>
      </c>
      <c r="C35" s="286">
        <f t="shared" si="15"/>
        <v>62.496000000000002</v>
      </c>
      <c r="D35" s="287">
        <f t="shared" si="1"/>
        <v>71.257183151685453</v>
      </c>
      <c r="E35" s="287">
        <f t="shared" si="2"/>
        <v>66.015834267887982</v>
      </c>
      <c r="F35" s="288">
        <f t="shared" si="3"/>
        <v>5.032677144425854</v>
      </c>
      <c r="G35" s="285">
        <f t="shared" si="4"/>
        <v>10.375976601160648</v>
      </c>
      <c r="H35" s="286">
        <f t="shared" si="5"/>
        <v>5.2080000000000002</v>
      </c>
      <c r="I35" s="287">
        <f t="shared" si="6"/>
        <v>5.8038705427895581</v>
      </c>
      <c r="J35" s="287">
        <f t="shared" si="7"/>
        <v>4.5455043615403579</v>
      </c>
      <c r="K35" s="288">
        <f t="shared" si="8"/>
        <v>0.22059599964093224</v>
      </c>
      <c r="L35" s="285">
        <f t="shared" si="9"/>
        <v>163.48828078607221</v>
      </c>
      <c r="M35" s="286">
        <f t="shared" si="17"/>
        <v>62.496000000000002</v>
      </c>
      <c r="N35" s="287">
        <f t="shared" si="18"/>
        <v>71.257183151685453</v>
      </c>
      <c r="O35" s="287">
        <f t="shared" si="19"/>
        <v>66.015834267887982</v>
      </c>
      <c r="P35" s="287">
        <f t="shared" si="20"/>
        <v>5.032677144425854</v>
      </c>
    </row>
    <row r="36" spans="1:16" x14ac:dyDescent="0.3">
      <c r="A36" s="276">
        <f t="shared" si="16"/>
        <v>25</v>
      </c>
      <c r="B36" s="285">
        <f t="shared" si="0"/>
        <v>173.93008388795371</v>
      </c>
      <c r="C36" s="286">
        <f t="shared" si="15"/>
        <v>67.8125</v>
      </c>
      <c r="D36" s="287">
        <f t="shared" si="1"/>
        <v>77.173552809319858</v>
      </c>
      <c r="E36" s="287">
        <f t="shared" si="2"/>
        <v>70.606732399657304</v>
      </c>
      <c r="F36" s="288">
        <f t="shared" si="3"/>
        <v>5.2532731441832636</v>
      </c>
      <c r="G36" s="285">
        <f t="shared" si="4"/>
        <v>10.505826342670524</v>
      </c>
      <c r="H36" s="286">
        <f t="shared" si="5"/>
        <v>5.4249999999999998</v>
      </c>
      <c r="I36" s="287">
        <f t="shared" si="6"/>
        <v>6.0286520947986117</v>
      </c>
      <c r="J36" s="287">
        <f t="shared" si="7"/>
        <v>4.6354817720336419</v>
      </c>
      <c r="K36" s="288">
        <f t="shared" si="8"/>
        <v>0.22059599984547731</v>
      </c>
      <c r="L36" s="285">
        <f t="shared" si="9"/>
        <v>173.93008388795371</v>
      </c>
      <c r="M36" s="286">
        <f t="shared" si="17"/>
        <v>67.8125</v>
      </c>
      <c r="N36" s="287">
        <f t="shared" si="18"/>
        <v>77.173552809319858</v>
      </c>
      <c r="O36" s="287">
        <f t="shared" si="19"/>
        <v>70.606732399657304</v>
      </c>
      <c r="P36" s="287">
        <f t="shared" si="20"/>
        <v>5.2532731441832636</v>
      </c>
    </row>
    <row r="37" spans="1:16" x14ac:dyDescent="0.3">
      <c r="A37" s="276">
        <f t="shared" si="16"/>
        <v>26</v>
      </c>
      <c r="B37" s="285">
        <f t="shared" si="0"/>
        <v>184.49647353494703</v>
      </c>
      <c r="C37" s="286">
        <f t="shared" si="15"/>
        <v>73.346000000000004</v>
      </c>
      <c r="D37" s="287">
        <f t="shared" si="1"/>
        <v>83.314055236943986</v>
      </c>
      <c r="E37" s="287">
        <f t="shared" si="2"/>
        <v>75.285220618255963</v>
      </c>
      <c r="F37" s="288">
        <f t="shared" si="3"/>
        <v>5.4738691440788658</v>
      </c>
      <c r="G37" s="285">
        <f t="shared" si="4"/>
        <v>10.625293872087749</v>
      </c>
      <c r="H37" s="286">
        <f t="shared" si="5"/>
        <v>5.6420000000000003</v>
      </c>
      <c r="I37" s="287">
        <f t="shared" si="6"/>
        <v>6.2521373323485028</v>
      </c>
      <c r="J37" s="287">
        <f t="shared" si="7"/>
        <v>4.7207271410990845</v>
      </c>
      <c r="K37" s="288">
        <f t="shared" si="8"/>
        <v>0.2205959999335021</v>
      </c>
      <c r="L37" s="285">
        <f t="shared" si="9"/>
        <v>184.49647353494703</v>
      </c>
      <c r="M37" s="286">
        <f t="shared" si="17"/>
        <v>73.346000000000004</v>
      </c>
      <c r="N37" s="287">
        <f t="shared" si="18"/>
        <v>83.314055236943986</v>
      </c>
      <c r="O37" s="287">
        <f t="shared" si="19"/>
        <v>75.285220618255963</v>
      </c>
      <c r="P37" s="287">
        <f t="shared" si="20"/>
        <v>5.4738691440788658</v>
      </c>
    </row>
    <row r="38" spans="1:16" x14ac:dyDescent="0.3">
      <c r="A38" s="276">
        <f t="shared" si="16"/>
        <v>27</v>
      </c>
      <c r="B38" s="285">
        <f t="shared" si="0"/>
        <v>195.17748833690845</v>
      </c>
      <c r="C38" s="286">
        <f t="shared" si="15"/>
        <v>79.096500000000006</v>
      </c>
      <c r="D38" s="287">
        <f t="shared" si="1"/>
        <v>89.677397861622993</v>
      </c>
      <c r="E38" s="287">
        <f t="shared" si="2"/>
        <v>80.046692435041194</v>
      </c>
      <c r="F38" s="288">
        <f t="shared" si="3"/>
        <v>5.6944651440339396</v>
      </c>
      <c r="G38" s="285">
        <f t="shared" si="4"/>
        <v>10.735209305257628</v>
      </c>
      <c r="H38" s="286">
        <f t="shared" si="5"/>
        <v>5.859</v>
      </c>
      <c r="I38" s="287">
        <f t="shared" si="6"/>
        <v>6.4743337312803764</v>
      </c>
      <c r="J38" s="287">
        <f t="shared" si="7"/>
        <v>4.801489333601233</v>
      </c>
      <c r="K38" s="288">
        <f t="shared" si="8"/>
        <v>0.22059599997138299</v>
      </c>
      <c r="L38" s="285">
        <f t="shared" si="9"/>
        <v>195.17748833690845</v>
      </c>
      <c r="M38" s="286">
        <f t="shared" si="17"/>
        <v>79.096500000000006</v>
      </c>
      <c r="N38" s="287">
        <f t="shared" si="18"/>
        <v>89.677397861622993</v>
      </c>
      <c r="O38" s="287">
        <f t="shared" si="19"/>
        <v>80.046692435041194</v>
      </c>
      <c r="P38" s="287">
        <f t="shared" si="20"/>
        <v>5.6944651440339396</v>
      </c>
    </row>
    <row r="39" spans="1:16" x14ac:dyDescent="0.3">
      <c r="A39" s="276">
        <f t="shared" si="16"/>
        <v>28</v>
      </c>
      <c r="B39" s="285">
        <f t="shared" si="0"/>
        <v>205.96396337247432</v>
      </c>
      <c r="C39" s="286">
        <f t="shared" si="15"/>
        <v>85.063999999999993</v>
      </c>
      <c r="D39" s="287">
        <f t="shared" si="1"/>
        <v>96.262295564684578</v>
      </c>
      <c r="E39" s="287">
        <f t="shared" si="2"/>
        <v>84.886783623233242</v>
      </c>
      <c r="F39" s="288">
        <f t="shared" si="3"/>
        <v>5.9150611440146053</v>
      </c>
      <c r="G39" s="285">
        <f t="shared" si="4"/>
        <v>10.836336385627138</v>
      </c>
      <c r="H39" s="286">
        <f t="shared" si="5"/>
        <v>6.0759999999999996</v>
      </c>
      <c r="I39" s="287">
        <f t="shared" si="6"/>
        <v>6.6952487243222407</v>
      </c>
      <c r="J39" s="287">
        <f t="shared" si="7"/>
        <v>4.8780041262434795</v>
      </c>
      <c r="K39" s="288">
        <f t="shared" si="8"/>
        <v>0.22059599998768484</v>
      </c>
      <c r="L39" s="285">
        <f t="shared" si="9"/>
        <v>205.96396337247432</v>
      </c>
      <c r="M39" s="286">
        <f t="shared" si="17"/>
        <v>85.063999999999993</v>
      </c>
      <c r="N39" s="287">
        <f t="shared" si="18"/>
        <v>96.262295564684578</v>
      </c>
      <c r="O39" s="287">
        <f t="shared" si="19"/>
        <v>84.886783623233242</v>
      </c>
      <c r="P39" s="287">
        <f t="shared" si="20"/>
        <v>5.9150611440146053</v>
      </c>
    </row>
    <row r="40" spans="1:16" x14ac:dyDescent="0.3">
      <c r="A40" s="276">
        <f t="shared" si="16"/>
        <v>29</v>
      </c>
      <c r="B40" s="285">
        <f t="shared" si="0"/>
        <v>216.84746650693347</v>
      </c>
      <c r="C40" s="286">
        <f t="shared" si="15"/>
        <v>91.248500000000007</v>
      </c>
      <c r="D40" s="287">
        <f t="shared" si="1"/>
        <v>103.06747063873226</v>
      </c>
      <c r="E40" s="287">
        <f t="shared" si="2"/>
        <v>89.801359477015453</v>
      </c>
      <c r="F40" s="288">
        <f t="shared" si="3"/>
        <v>6.1356571440062853</v>
      </c>
      <c r="G40" s="285">
        <f t="shared" si="4"/>
        <v>10.929377791088879</v>
      </c>
      <c r="H40" s="286">
        <f t="shared" si="5"/>
        <v>6.2930000000000001</v>
      </c>
      <c r="I40" s="287">
        <f t="shared" si="6"/>
        <v>6.9148897013375814</v>
      </c>
      <c r="J40" s="287">
        <f t="shared" si="7"/>
        <v>4.9504948958932786</v>
      </c>
      <c r="K40" s="288">
        <f t="shared" si="8"/>
        <v>0.22059599999470025</v>
      </c>
      <c r="L40" s="285">
        <f t="shared" si="9"/>
        <v>216.84746650693347</v>
      </c>
      <c r="M40" s="286">
        <f t="shared" si="17"/>
        <v>91.248500000000007</v>
      </c>
      <c r="N40" s="287">
        <f t="shared" si="18"/>
        <v>103.06747063873226</v>
      </c>
      <c r="O40" s="287">
        <f t="shared" si="19"/>
        <v>89.801359477015453</v>
      </c>
      <c r="P40" s="287">
        <f t="shared" si="20"/>
        <v>6.1356571440062853</v>
      </c>
    </row>
    <row r="41" spans="1:16" x14ac:dyDescent="0.3">
      <c r="A41" s="276">
        <f t="shared" si="16"/>
        <v>30</v>
      </c>
      <c r="B41" s="285">
        <f t="shared" si="0"/>
        <v>227.82023980184144</v>
      </c>
      <c r="C41" s="286">
        <f t="shared" si="15"/>
        <v>97.649999999999991</v>
      </c>
      <c r="D41" s="287">
        <f t="shared" si="1"/>
        <v>110.09165274490361</v>
      </c>
      <c r="E41" s="287">
        <f t="shared" si="2"/>
        <v>94.786502740696932</v>
      </c>
      <c r="F41" s="288">
        <f t="shared" si="3"/>
        <v>6.3562531440027046</v>
      </c>
      <c r="G41" s="285">
        <f t="shared" si="4"/>
        <v>11.014980016513213</v>
      </c>
      <c r="H41" s="286">
        <f t="shared" si="5"/>
        <v>6.51</v>
      </c>
      <c r="I41" s="287">
        <f t="shared" si="6"/>
        <v>7.1332640095725637</v>
      </c>
      <c r="J41" s="287">
        <f t="shared" si="7"/>
        <v>5.0191732717073529</v>
      </c>
      <c r="K41" s="288">
        <f t="shared" si="8"/>
        <v>0.22059599999771928</v>
      </c>
      <c r="L41" s="285">
        <f t="shared" si="9"/>
        <v>227.82023980184144</v>
      </c>
      <c r="M41" s="286">
        <f t="shared" si="17"/>
        <v>97.649999999999991</v>
      </c>
      <c r="N41" s="287">
        <f t="shared" si="18"/>
        <v>110.09165274490361</v>
      </c>
      <c r="O41" s="287">
        <f t="shared" si="19"/>
        <v>94.786502740696932</v>
      </c>
      <c r="P41" s="287">
        <f t="shared" si="20"/>
        <v>6.3562531440027046</v>
      </c>
    </row>
    <row r="42" spans="1:16" x14ac:dyDescent="0.3">
      <c r="A42" s="276">
        <f t="shared" si="16"/>
        <v>31</v>
      </c>
      <c r="B42" s="285">
        <f t="shared" si="0"/>
        <v>238.87514560926343</v>
      </c>
      <c r="C42" s="286">
        <f t="shared" si="15"/>
        <v>104.2685</v>
      </c>
      <c r="D42" s="287">
        <f t="shared" si="1"/>
        <v>117.33357887037724</v>
      </c>
      <c r="E42" s="287">
        <f t="shared" si="2"/>
        <v>99.838502172697488</v>
      </c>
      <c r="F42" s="288">
        <f t="shared" si="3"/>
        <v>6.576849144001164</v>
      </c>
      <c r="G42" s="285">
        <f t="shared" si="4"/>
        <v>11.093737865894715</v>
      </c>
      <c r="H42" s="286">
        <f t="shared" si="5"/>
        <v>6.7270000000000003</v>
      </c>
      <c r="I42" s="287">
        <f t="shared" si="6"/>
        <v>7.3503789539018092</v>
      </c>
      <c r="J42" s="287">
        <f t="shared" si="7"/>
        <v>5.0842397529606984</v>
      </c>
      <c r="K42" s="288">
        <f t="shared" si="8"/>
        <v>0.22059599999901849</v>
      </c>
      <c r="L42" s="285">
        <f t="shared" si="9"/>
        <v>238.87514560926343</v>
      </c>
      <c r="M42" s="286">
        <f t="shared" si="17"/>
        <v>104.2685</v>
      </c>
      <c r="N42" s="287">
        <f t="shared" si="18"/>
        <v>117.33357887037724</v>
      </c>
      <c r="O42" s="287">
        <f t="shared" si="19"/>
        <v>99.838502172697488</v>
      </c>
      <c r="P42" s="287">
        <f t="shared" si="20"/>
        <v>6.576849144001164</v>
      </c>
    </row>
    <row r="43" spans="1:16" x14ac:dyDescent="0.3">
      <c r="A43" s="276">
        <f t="shared" si="16"/>
        <v>32</v>
      </c>
      <c r="B43" s="285">
        <f t="shared" si="0"/>
        <v>250.00561697608342</v>
      </c>
      <c r="C43" s="286">
        <f t="shared" si="15"/>
        <v>111.104</v>
      </c>
      <c r="D43" s="287">
        <f t="shared" si="1"/>
        <v>124.79199328611985</v>
      </c>
      <c r="E43" s="287">
        <f t="shared" si="2"/>
        <v>104.95384171096937</v>
      </c>
      <c r="F43" s="288">
        <f t="shared" si="3"/>
        <v>6.7974451440005002</v>
      </c>
      <c r="G43" s="285">
        <f t="shared" si="4"/>
        <v>11.166198585326381</v>
      </c>
      <c r="H43" s="286">
        <f t="shared" si="5"/>
        <v>6.944</v>
      </c>
      <c r="I43" s="287">
        <f t="shared" si="6"/>
        <v>7.5662417970727587</v>
      </c>
      <c r="J43" s="287">
        <f t="shared" si="7"/>
        <v>5.1458842943830723</v>
      </c>
      <c r="K43" s="288">
        <f t="shared" si="8"/>
        <v>0.2205959999995776</v>
      </c>
      <c r="L43" s="285">
        <f t="shared" si="9"/>
        <v>250.00561697608342</v>
      </c>
      <c r="M43" s="286">
        <f t="shared" si="17"/>
        <v>111.104</v>
      </c>
      <c r="N43" s="287">
        <f t="shared" si="18"/>
        <v>124.79199328611985</v>
      </c>
      <c r="O43" s="287">
        <f t="shared" si="19"/>
        <v>104.95384171096937</v>
      </c>
      <c r="P43" s="287">
        <f t="shared" si="20"/>
        <v>6.7974451440005002</v>
      </c>
    </row>
    <row r="44" spans="1:16" x14ac:dyDescent="0.3">
      <c r="A44" s="276">
        <f t="shared" si="16"/>
        <v>33</v>
      </c>
      <c r="B44" s="285">
        <f t="shared" si="0"/>
        <v>261.20561201376586</v>
      </c>
      <c r="C44" s="286">
        <f t="shared" si="15"/>
        <v>118.15649999999999</v>
      </c>
      <c r="D44" s="287">
        <f t="shared" si="1"/>
        <v>132.46564750488676</v>
      </c>
      <c r="E44" s="287">
        <f t="shared" si="2"/>
        <v>110.12919020822481</v>
      </c>
      <c r="F44" s="288">
        <f t="shared" si="3"/>
        <v>7.0180411440002146</v>
      </c>
      <c r="G44" s="285">
        <f t="shared" si="4"/>
        <v>11.232865665519508</v>
      </c>
      <c r="H44" s="286">
        <f t="shared" si="5"/>
        <v>7.1609999999999996</v>
      </c>
      <c r="I44" s="287">
        <f t="shared" si="6"/>
        <v>7.7808597599486014</v>
      </c>
      <c r="J44" s="287">
        <f t="shared" si="7"/>
        <v>5.2042868607117887</v>
      </c>
      <c r="K44" s="288">
        <f t="shared" si="8"/>
        <v>0.22059599999981822</v>
      </c>
      <c r="L44" s="285">
        <f t="shared" si="9"/>
        <v>261.20561201376586</v>
      </c>
      <c r="M44" s="286">
        <f t="shared" si="17"/>
        <v>118.15649999999999</v>
      </c>
      <c r="N44" s="287">
        <f t="shared" si="18"/>
        <v>132.46564750488676</v>
      </c>
      <c r="O44" s="287">
        <f t="shared" si="19"/>
        <v>110.12919020822481</v>
      </c>
      <c r="P44" s="287">
        <f t="shared" si="20"/>
        <v>7.0180411440002146</v>
      </c>
    </row>
    <row r="45" spans="1:16" x14ac:dyDescent="0.3">
      <c r="A45" s="276">
        <f t="shared" si="16"/>
        <v>34</v>
      </c>
      <c r="B45" s="285">
        <f t="shared" si="0"/>
        <v>272.46957191650989</v>
      </c>
      <c r="C45" s="286">
        <f t="shared" si="15"/>
        <v>125.426</v>
      </c>
      <c r="D45" s="287">
        <f t="shared" si="1"/>
        <v>140.35330023945235</v>
      </c>
      <c r="E45" s="287">
        <f t="shared" si="2"/>
        <v>115.36139170700305</v>
      </c>
      <c r="F45" s="288">
        <f t="shared" si="3"/>
        <v>7.2386371440000916</v>
      </c>
      <c r="G45" s="285">
        <f t="shared" si="4"/>
        <v>11.294202340290841</v>
      </c>
      <c r="H45" s="286">
        <f t="shared" si="5"/>
        <v>7.3780000000000001</v>
      </c>
      <c r="I45" s="287">
        <f t="shared" si="6"/>
        <v>7.9942400217498424</v>
      </c>
      <c r="J45" s="287">
        <f t="shared" si="7"/>
        <v>5.2596179520797932</v>
      </c>
      <c r="K45" s="288">
        <f t="shared" si="8"/>
        <v>0.22059599999992177</v>
      </c>
      <c r="L45" s="285">
        <f t="shared" si="9"/>
        <v>272.46957191650989</v>
      </c>
      <c r="M45" s="286">
        <f t="shared" si="17"/>
        <v>125.426</v>
      </c>
      <c r="N45" s="287">
        <f t="shared" si="18"/>
        <v>140.35330023945235</v>
      </c>
      <c r="O45" s="287">
        <f t="shared" si="19"/>
        <v>115.36139170700305</v>
      </c>
      <c r="P45" s="287">
        <f t="shared" si="20"/>
        <v>7.2386371440000916</v>
      </c>
    </row>
    <row r="46" spans="1:16" x14ac:dyDescent="0.3">
      <c r="A46" s="276">
        <f t="shared" si="16"/>
        <v>35</v>
      </c>
      <c r="B46" s="285">
        <f t="shared" si="0"/>
        <v>283.79238233608635</v>
      </c>
      <c r="C46" s="286">
        <f t="shared" si="15"/>
        <v>132.91249999999999</v>
      </c>
      <c r="D46" s="287">
        <f t="shared" si="1"/>
        <v>148.45371736109172</v>
      </c>
      <c r="E46" s="287">
        <f t="shared" si="2"/>
        <v>120.64745622618514</v>
      </c>
      <c r="F46" s="288">
        <f t="shared" si="3"/>
        <v>7.4592331440000388</v>
      </c>
      <c r="G46" s="285">
        <f t="shared" si="4"/>
        <v>11.350634805326141</v>
      </c>
      <c r="H46" s="286">
        <f t="shared" si="5"/>
        <v>7.5949999999999998</v>
      </c>
      <c r="I46" s="287">
        <f t="shared" si="6"/>
        <v>8.2063897202944371</v>
      </c>
      <c r="J46" s="287">
        <f t="shared" si="7"/>
        <v>5.312039101772819</v>
      </c>
      <c r="K46" s="288">
        <f t="shared" si="8"/>
        <v>0.22059599999996635</v>
      </c>
      <c r="L46" s="285">
        <f t="shared" si="9"/>
        <v>283.79238233608635</v>
      </c>
      <c r="M46" s="286">
        <f t="shared" si="17"/>
        <v>132.91249999999999</v>
      </c>
      <c r="N46" s="287">
        <f t="shared" si="18"/>
        <v>148.45371736109172</v>
      </c>
      <c r="O46" s="287">
        <f t="shared" si="19"/>
        <v>120.64745622618514</v>
      </c>
      <c r="P46" s="287">
        <f t="shared" si="20"/>
        <v>7.4592331440000388</v>
      </c>
    </row>
    <row r="47" spans="1:16" x14ac:dyDescent="0.3">
      <c r="A47" s="276">
        <f t="shared" si="16"/>
        <v>36</v>
      </c>
      <c r="B47" s="285">
        <f t="shared" si="0"/>
        <v>295.1693378449724</v>
      </c>
      <c r="C47" s="286">
        <f t="shared" si="15"/>
        <v>140.61600000000001</v>
      </c>
      <c r="D47" s="287">
        <f t="shared" si="1"/>
        <v>156.76567185829555</v>
      </c>
      <c r="E47" s="287">
        <f t="shared" si="2"/>
        <v>125.98455103205958</v>
      </c>
      <c r="F47" s="288">
        <f t="shared" si="3"/>
        <v>7.679829144000017</v>
      </c>
      <c r="G47" s="285">
        <f t="shared" si="4"/>
        <v>11.402555179585633</v>
      </c>
      <c r="H47" s="286">
        <f t="shared" si="5"/>
        <v>7.8120000000000003</v>
      </c>
      <c r="I47" s="287">
        <f t="shared" si="6"/>
        <v>8.4173159522365797</v>
      </c>
      <c r="J47" s="287">
        <f t="shared" si="7"/>
        <v>5.3617033478087759</v>
      </c>
      <c r="K47" s="288">
        <f t="shared" si="8"/>
        <v>0.2205959999999855</v>
      </c>
      <c r="L47" s="285">
        <f t="shared" si="9"/>
        <v>295.1693378449724</v>
      </c>
      <c r="M47" s="286">
        <f t="shared" si="17"/>
        <v>140.61600000000001</v>
      </c>
      <c r="N47" s="287">
        <f t="shared" si="18"/>
        <v>156.76567185829555</v>
      </c>
      <c r="O47" s="287">
        <f t="shared" si="19"/>
        <v>125.98455103205958</v>
      </c>
      <c r="P47" s="287">
        <f t="shared" si="20"/>
        <v>7.679829144000017</v>
      </c>
    </row>
    <row r="48" spans="1:16" x14ac:dyDescent="0.3">
      <c r="A48" s="276">
        <f t="shared" si="16"/>
        <v>37</v>
      </c>
      <c r="B48" s="285">
        <f t="shared" si="0"/>
        <v>306.59610924085746</v>
      </c>
      <c r="C48" s="286">
        <f t="shared" si="15"/>
        <v>148.53649999999999</v>
      </c>
      <c r="D48" s="287">
        <f t="shared" si="1"/>
        <v>165.28794379572525</v>
      </c>
      <c r="E48" s="287">
        <f t="shared" si="2"/>
        <v>131.36999236845492</v>
      </c>
      <c r="F48" s="288">
        <f t="shared" si="3"/>
        <v>7.9004251440000077</v>
      </c>
      <c r="G48" s="285">
        <f t="shared" si="4"/>
        <v>11.450324229928542</v>
      </c>
      <c r="H48" s="286">
        <f t="shared" si="5"/>
        <v>8.0289999999999999</v>
      </c>
      <c r="I48" s="287">
        <f t="shared" si="6"/>
        <v>8.6270257733040765</v>
      </c>
      <c r="J48" s="287">
        <f t="shared" si="7"/>
        <v>5.4087556797161049</v>
      </c>
      <c r="K48" s="288">
        <f t="shared" si="8"/>
        <v>0.22059599999999374</v>
      </c>
      <c r="L48" s="285">
        <f t="shared" si="9"/>
        <v>306.59610924085746</v>
      </c>
      <c r="M48" s="286">
        <f t="shared" si="17"/>
        <v>148.53649999999999</v>
      </c>
      <c r="N48" s="287">
        <f t="shared" si="18"/>
        <v>165.28794379572525</v>
      </c>
      <c r="O48" s="287">
        <f t="shared" si="19"/>
        <v>131.36999236845492</v>
      </c>
      <c r="P48" s="287">
        <f t="shared" si="20"/>
        <v>7.9004251440000077</v>
      </c>
    </row>
    <row r="49" spans="1:16" x14ac:dyDescent="0.3">
      <c r="A49" s="276">
        <f t="shared" si="16"/>
        <v>38</v>
      </c>
      <c r="B49" s="285">
        <f t="shared" si="0"/>
        <v>318.0687134653358</v>
      </c>
      <c r="C49" s="286">
        <f t="shared" si="15"/>
        <v>156.67400000000001</v>
      </c>
      <c r="D49" s="287">
        <f t="shared" si="1"/>
        <v>174.01932027340712</v>
      </c>
      <c r="E49" s="287">
        <f t="shared" si="2"/>
        <v>136.80123762179667</v>
      </c>
      <c r="F49" s="288">
        <f t="shared" si="3"/>
        <v>8.121021144000002</v>
      </c>
      <c r="G49" s="285">
        <f t="shared" si="4"/>
        <v>11.494273877888684</v>
      </c>
      <c r="H49" s="286">
        <f t="shared" si="5"/>
        <v>8.2460000000000004</v>
      </c>
      <c r="I49" s="287">
        <f t="shared" si="6"/>
        <v>8.8355261985343709</v>
      </c>
      <c r="J49" s="287">
        <f t="shared" si="7"/>
        <v>5.4533334618154177</v>
      </c>
      <c r="K49" s="288">
        <f t="shared" si="8"/>
        <v>0.22059599999999729</v>
      </c>
      <c r="L49" s="285">
        <f t="shared" si="9"/>
        <v>318.0687134653358</v>
      </c>
      <c r="M49" s="286">
        <f t="shared" si="17"/>
        <v>156.67400000000001</v>
      </c>
      <c r="N49" s="287">
        <f t="shared" si="18"/>
        <v>174.01932027340712</v>
      </c>
      <c r="O49" s="287">
        <f t="shared" si="19"/>
        <v>136.80123762179667</v>
      </c>
      <c r="P49" s="287">
        <f t="shared" si="20"/>
        <v>8.121021144000002</v>
      </c>
    </row>
    <row r="50" spans="1:16" x14ac:dyDescent="0.3">
      <c r="A50" s="276">
        <f t="shared" si="16"/>
        <v>39</v>
      </c>
      <c r="B50" s="285">
        <f t="shared" si="0"/>
        <v>329.58348592776798</v>
      </c>
      <c r="C50" s="286">
        <f t="shared" si="15"/>
        <v>165.02849999999998</v>
      </c>
      <c r="D50" s="287">
        <f t="shared" si="1"/>
        <v>182.95859538615602</v>
      </c>
      <c r="E50" s="287">
        <f t="shared" si="2"/>
        <v>142.27587789821513</v>
      </c>
      <c r="F50" s="288">
        <f t="shared" si="3"/>
        <v>8.3416171440000006</v>
      </c>
      <c r="G50" s="285">
        <f t="shared" si="4"/>
        <v>11.534709506019336</v>
      </c>
      <c r="H50" s="286">
        <f t="shared" si="5"/>
        <v>8.4629999999999992</v>
      </c>
      <c r="I50" s="287">
        <f t="shared" si="6"/>
        <v>9.0428242025092196</v>
      </c>
      <c r="J50" s="287">
        <f t="shared" si="7"/>
        <v>5.4955668342401358</v>
      </c>
      <c r="K50" s="288">
        <f t="shared" si="8"/>
        <v>0.22059599999999885</v>
      </c>
      <c r="L50" s="285">
        <f t="shared" si="9"/>
        <v>329.58348592776798</v>
      </c>
      <c r="M50" s="286">
        <f t="shared" si="17"/>
        <v>165.02849999999998</v>
      </c>
      <c r="N50" s="287">
        <f t="shared" si="18"/>
        <v>182.95859538615602</v>
      </c>
      <c r="O50" s="287">
        <f t="shared" si="19"/>
        <v>142.27587789821513</v>
      </c>
      <c r="P50" s="287">
        <f t="shared" si="20"/>
        <v>8.3416171440000006</v>
      </c>
    </row>
    <row r="51" spans="1:16" x14ac:dyDescent="0.3">
      <c r="A51" s="276">
        <f t="shared" si="16"/>
        <v>40</v>
      </c>
      <c r="B51" s="285">
        <f t="shared" si="0"/>
        <v>341.13705504200436</v>
      </c>
      <c r="C51" s="286">
        <f t="shared" si="15"/>
        <v>173.6</v>
      </c>
      <c r="D51" s="287">
        <f t="shared" si="1"/>
        <v>192.10457018323763</v>
      </c>
      <c r="E51" s="287">
        <f t="shared" si="2"/>
        <v>147.7916309910338</v>
      </c>
      <c r="F51" s="288">
        <f t="shared" si="3"/>
        <v>8.5622131440000011</v>
      </c>
      <c r="G51" s="285">
        <f t="shared" si="4"/>
        <v>11.571912079832972</v>
      </c>
      <c r="H51" s="286">
        <f t="shared" si="5"/>
        <v>8.68</v>
      </c>
      <c r="I51" s="287">
        <f t="shared" si="6"/>
        <v>9.248926719587983</v>
      </c>
      <c r="J51" s="287">
        <f t="shared" si="7"/>
        <v>5.5355790928668966</v>
      </c>
      <c r="K51" s="288">
        <f t="shared" si="8"/>
        <v>0.22059599999999949</v>
      </c>
      <c r="L51" s="285">
        <f t="shared" si="9"/>
        <v>341.13705504200436</v>
      </c>
      <c r="M51" s="286">
        <f t="shared" si="17"/>
        <v>173.6</v>
      </c>
      <c r="N51" s="287">
        <f t="shared" si="18"/>
        <v>192.10457018323763</v>
      </c>
      <c r="O51" s="287">
        <f t="shared" si="19"/>
        <v>147.7916309910338</v>
      </c>
      <c r="P51" s="287">
        <f t="shared" si="20"/>
        <v>8.5622131440000011</v>
      </c>
    </row>
    <row r="52" spans="1:16" x14ac:dyDescent="0.3">
      <c r="A52" s="276">
        <f t="shared" si="16"/>
        <v>41</v>
      </c>
      <c r="B52" s="285">
        <f t="shared" si="0"/>
        <v>352.72631879903952</v>
      </c>
      <c r="C52" s="286">
        <f t="shared" si="15"/>
        <v>182.38849999999999</v>
      </c>
      <c r="D52" s="287">
        <f t="shared" si="1"/>
        <v>201.45605262826436</v>
      </c>
      <c r="E52" s="287">
        <f t="shared" si="2"/>
        <v>153.3463347181077</v>
      </c>
      <c r="F52" s="288">
        <f t="shared" si="3"/>
        <v>8.7828091439999998</v>
      </c>
      <c r="G52" s="285">
        <f t="shared" si="4"/>
        <v>11.606140100080042</v>
      </c>
      <c r="H52" s="286">
        <f t="shared" si="5"/>
        <v>8.8970000000000002</v>
      </c>
      <c r="I52" s="287">
        <f t="shared" si="6"/>
        <v>9.4538406441395946</v>
      </c>
      <c r="J52" s="287">
        <f t="shared" si="7"/>
        <v>5.5734870492648492</v>
      </c>
      <c r="K52" s="288">
        <f t="shared" si="8"/>
        <v>0.22059599999999976</v>
      </c>
      <c r="L52" s="285">
        <f t="shared" si="9"/>
        <v>352.72631879903952</v>
      </c>
      <c r="M52" s="286">
        <f t="shared" si="17"/>
        <v>182.38849999999999</v>
      </c>
      <c r="N52" s="287">
        <f t="shared" si="18"/>
        <v>201.45605262826436</v>
      </c>
      <c r="O52" s="287">
        <f t="shared" si="19"/>
        <v>153.3463347181077</v>
      </c>
      <c r="P52" s="287">
        <f t="shared" si="20"/>
        <v>8.7828091439999998</v>
      </c>
    </row>
    <row r="53" spans="1:16" x14ac:dyDescent="0.3">
      <c r="A53" s="276">
        <f t="shared" si="16"/>
        <v>42</v>
      </c>
      <c r="B53" s="285">
        <f t="shared" si="0"/>
        <v>364.34842321281383</v>
      </c>
      <c r="C53" s="286">
        <f t="shared" si="15"/>
        <v>191.39400000000001</v>
      </c>
      <c r="D53" s="287">
        <f t="shared" si="1"/>
        <v>211.01185755931704</v>
      </c>
      <c r="E53" s="287">
        <f t="shared" si="2"/>
        <v>158.93794060956057</v>
      </c>
      <c r="F53" s="288">
        <f t="shared" si="3"/>
        <v>9.0034051440000002</v>
      </c>
      <c r="G53" s="285">
        <f t="shared" si="4"/>
        <v>11.637631398932179</v>
      </c>
      <c r="H53" s="286">
        <f t="shared" si="5"/>
        <v>9.1140000000000008</v>
      </c>
      <c r="I53" s="287">
        <f t="shared" si="6"/>
        <v>9.6575728307731801</v>
      </c>
      <c r="J53" s="287">
        <f t="shared" si="7"/>
        <v>5.6094013717147195</v>
      </c>
      <c r="K53" s="288">
        <f t="shared" si="8"/>
        <v>0.22059599999999988</v>
      </c>
      <c r="L53" s="285">
        <f t="shared" si="9"/>
        <v>364.34842321281383</v>
      </c>
      <c r="M53" s="286">
        <f t="shared" si="17"/>
        <v>191.39400000000001</v>
      </c>
      <c r="N53" s="287">
        <f t="shared" si="18"/>
        <v>211.01185755931704</v>
      </c>
      <c r="O53" s="287">
        <f t="shared" si="19"/>
        <v>158.93794060956057</v>
      </c>
      <c r="P53" s="287">
        <f t="shared" si="20"/>
        <v>9.0034051440000002</v>
      </c>
    </row>
    <row r="54" spans="1:16" x14ac:dyDescent="0.3">
      <c r="A54" s="276">
        <f t="shared" si="16"/>
        <v>43</v>
      </c>
      <c r="B54" s="285">
        <f t="shared" si="0"/>
        <v>376.00074248939393</v>
      </c>
      <c r="C54" s="286">
        <f t="shared" si="15"/>
        <v>200.6165</v>
      </c>
      <c r="D54" s="287">
        <f t="shared" si="1"/>
        <v>220.77080664930102</v>
      </c>
      <c r="E54" s="287">
        <f t="shared" si="2"/>
        <v>164.56450792749325</v>
      </c>
      <c r="F54" s="288">
        <f t="shared" si="3"/>
        <v>9.2240011439999989</v>
      </c>
      <c r="G54" s="285">
        <f t="shared" si="4"/>
        <v>11.666604792550508</v>
      </c>
      <c r="H54" s="286">
        <f t="shared" si="5"/>
        <v>9.3309999999999995</v>
      </c>
      <c r="I54" s="287">
        <f t="shared" si="6"/>
        <v>9.8601300945673724</v>
      </c>
      <c r="J54" s="287">
        <f t="shared" si="7"/>
        <v>5.6434269082931809</v>
      </c>
      <c r="K54" s="288">
        <f t="shared" si="8"/>
        <v>0.22059599999999993</v>
      </c>
      <c r="L54" s="285">
        <f t="shared" si="9"/>
        <v>376.00074248939393</v>
      </c>
      <c r="M54" s="286">
        <f t="shared" si="17"/>
        <v>200.6165</v>
      </c>
      <c r="N54" s="287">
        <f t="shared" si="18"/>
        <v>220.77080664930102</v>
      </c>
      <c r="O54" s="287">
        <f t="shared" si="19"/>
        <v>164.56450792749325</v>
      </c>
      <c r="P54" s="287">
        <f t="shared" si="20"/>
        <v>9.2240011439999989</v>
      </c>
    </row>
    <row r="55" spans="1:16" x14ac:dyDescent="0.3">
      <c r="A55" s="276">
        <f t="shared" si="16"/>
        <v>44</v>
      </c>
      <c r="B55" s="285">
        <f t="shared" si="0"/>
        <v>387.68086078173707</v>
      </c>
      <c r="C55" s="286">
        <f t="shared" si="15"/>
        <v>210.05600000000001</v>
      </c>
      <c r="D55" s="287">
        <f t="shared" si="1"/>
        <v>230.73172836653129</v>
      </c>
      <c r="E55" s="287">
        <f t="shared" si="2"/>
        <v>170.22419800020387</v>
      </c>
      <c r="F55" s="288">
        <f t="shared" si="3"/>
        <v>9.4445971439999994</v>
      </c>
      <c r="G55" s="285">
        <f t="shared" si="4"/>
        <v>11.693261601521911</v>
      </c>
      <c r="H55" s="286">
        <f t="shared" si="5"/>
        <v>9.548</v>
      </c>
      <c r="I55" s="287">
        <f t="shared" si="6"/>
        <v>10.061519211298258</v>
      </c>
      <c r="J55" s="287">
        <f t="shared" si="7"/>
        <v>5.6756629929657567</v>
      </c>
      <c r="K55" s="288">
        <f t="shared" si="8"/>
        <v>0.22059599999999996</v>
      </c>
      <c r="L55" s="285">
        <f t="shared" si="9"/>
        <v>387.68086078173707</v>
      </c>
      <c r="M55" s="286">
        <f t="shared" si="17"/>
        <v>210.05600000000001</v>
      </c>
      <c r="N55" s="287">
        <f t="shared" si="18"/>
        <v>230.73172836653129</v>
      </c>
      <c r="O55" s="287">
        <f t="shared" si="19"/>
        <v>170.22419800020387</v>
      </c>
      <c r="P55" s="287">
        <f t="shared" si="20"/>
        <v>9.4445971439999994</v>
      </c>
    </row>
    <row r="56" spans="1:16" x14ac:dyDescent="0.3">
      <c r="A56" s="276">
        <f t="shared" si="16"/>
        <v>45</v>
      </c>
      <c r="B56" s="285">
        <f t="shared" si="0"/>
        <v>399.38655540326533</v>
      </c>
      <c r="C56" s="286">
        <f t="shared" si="15"/>
        <v>219.71250000000001</v>
      </c>
      <c r="D56" s="287">
        <f t="shared" si="1"/>
        <v>240.8934579355417</v>
      </c>
      <c r="E56" s="287">
        <f t="shared" si="2"/>
        <v>175.91526885437986</v>
      </c>
      <c r="F56" s="288">
        <f t="shared" si="3"/>
        <v>9.6651931439999998</v>
      </c>
      <c r="G56" s="285">
        <f t="shared" si="4"/>
        <v>11.717787049727891</v>
      </c>
      <c r="H56" s="286">
        <f t="shared" si="5"/>
        <v>9.7650000000000006</v>
      </c>
      <c r="I56" s="287">
        <f t="shared" si="6"/>
        <v>10.26174691766604</v>
      </c>
      <c r="J56" s="287">
        <f t="shared" si="7"/>
        <v>5.7062037355818562</v>
      </c>
      <c r="K56" s="288">
        <f t="shared" si="8"/>
        <v>0.22059599999999999</v>
      </c>
      <c r="L56" s="285">
        <f t="shared" si="9"/>
        <v>399.38655540326533</v>
      </c>
      <c r="M56" s="286">
        <f t="shared" si="17"/>
        <v>219.71250000000001</v>
      </c>
      <c r="N56" s="287">
        <f t="shared" si="18"/>
        <v>240.8934579355417</v>
      </c>
      <c r="O56" s="287">
        <f t="shared" si="19"/>
        <v>175.91526885437986</v>
      </c>
      <c r="P56" s="287">
        <f t="shared" si="20"/>
        <v>9.6651931439999998</v>
      </c>
    </row>
    <row r="57" spans="1:16" x14ac:dyDescent="0.3">
      <c r="A57" s="276">
        <f t="shared" si="16"/>
        <v>46</v>
      </c>
      <c r="B57" s="285">
        <f t="shared" si="0"/>
        <v>411.11578138360699</v>
      </c>
      <c r="C57" s="286">
        <f t="shared" si="15"/>
        <v>229.58599999999998</v>
      </c>
      <c r="D57" s="287">
        <f t="shared" si="1"/>
        <v>251.25483729812146</v>
      </c>
      <c r="E57" s="287">
        <f t="shared" si="2"/>
        <v>181.63607012959056</v>
      </c>
      <c r="F57" s="288">
        <f t="shared" si="3"/>
        <v>9.8857891439999985</v>
      </c>
      <c r="G57" s="285">
        <f t="shared" si="4"/>
        <v>11.740351551366082</v>
      </c>
      <c r="H57" s="286">
        <f t="shared" si="5"/>
        <v>9.9819999999999993</v>
      </c>
      <c r="I57" s="287">
        <f t="shared" si="6"/>
        <v>10.460819911520408</v>
      </c>
      <c r="J57" s="287">
        <f t="shared" si="7"/>
        <v>5.7351382966185556</v>
      </c>
      <c r="K57" s="288">
        <f t="shared" si="8"/>
        <v>0.22059599999999999</v>
      </c>
      <c r="L57" s="285">
        <f t="shared" si="9"/>
        <v>411.11578138360699</v>
      </c>
      <c r="M57" s="286">
        <f t="shared" si="17"/>
        <v>229.58599999999998</v>
      </c>
      <c r="N57" s="287">
        <f t="shared" si="18"/>
        <v>251.25483729812146</v>
      </c>
      <c r="O57" s="287">
        <f t="shared" si="19"/>
        <v>181.63607012959056</v>
      </c>
      <c r="P57" s="287">
        <f t="shared" si="20"/>
        <v>9.8857891439999985</v>
      </c>
    </row>
    <row r="58" spans="1:16" x14ac:dyDescent="0.3">
      <c r="A58" s="276">
        <f t="shared" si="16"/>
        <v>47</v>
      </c>
      <c r="B58" s="285">
        <f t="shared" si="0"/>
        <v>422.86665725919363</v>
      </c>
      <c r="C58" s="286">
        <f t="shared" si="15"/>
        <v>239.6765</v>
      </c>
      <c r="D58" s="287">
        <f t="shared" si="1"/>
        <v>261.81471507457888</v>
      </c>
      <c r="E58" s="287">
        <f t="shared" si="2"/>
        <v>187.38503826023396</v>
      </c>
      <c r="F58" s="288">
        <f t="shared" si="3"/>
        <v>10.106385143999999</v>
      </c>
      <c r="G58" s="285">
        <f t="shared" si="4"/>
        <v>11.761111895067195</v>
      </c>
      <c r="H58" s="286">
        <f t="shared" si="5"/>
        <v>10.199</v>
      </c>
      <c r="I58" s="287">
        <f t="shared" si="6"/>
        <v>10.658744852084563</v>
      </c>
      <c r="J58" s="287">
        <f t="shared" si="7"/>
        <v>5.7625511474752065</v>
      </c>
      <c r="K58" s="288">
        <f t="shared" si="8"/>
        <v>0.22059599999999999</v>
      </c>
      <c r="L58" s="285">
        <f t="shared" si="9"/>
        <v>422.86665725919363</v>
      </c>
      <c r="M58" s="286">
        <f t="shared" si="17"/>
        <v>239.6765</v>
      </c>
      <c r="N58" s="287">
        <f t="shared" si="18"/>
        <v>261.81471507457888</v>
      </c>
      <c r="O58" s="287">
        <f t="shared" si="19"/>
        <v>187.38503826023396</v>
      </c>
      <c r="P58" s="287">
        <f t="shared" si="20"/>
        <v>10.106385143999999</v>
      </c>
    </row>
    <row r="59" spans="1:16" x14ac:dyDescent="0.3">
      <c r="A59" s="276">
        <f t="shared" si="16"/>
        <v>48</v>
      </c>
      <c r="B59" s="285">
        <f t="shared" si="0"/>
        <v>434.63745199997771</v>
      </c>
      <c r="C59" s="286">
        <f t="shared" si="15"/>
        <v>249.98400000000001</v>
      </c>
      <c r="D59" s="287">
        <f t="shared" si="1"/>
        <v>272.57194652522435</v>
      </c>
      <c r="E59" s="287">
        <f t="shared" si="2"/>
        <v>193.16069191087189</v>
      </c>
      <c r="F59" s="288">
        <f t="shared" si="3"/>
        <v>10.326981143999999</v>
      </c>
      <c r="G59" s="285">
        <f t="shared" si="4"/>
        <v>11.780212333335189</v>
      </c>
      <c r="H59" s="286">
        <f t="shared" si="5"/>
        <v>10.416</v>
      </c>
      <c r="I59" s="287">
        <f t="shared" si="6"/>
        <v>10.855528360177997</v>
      </c>
      <c r="J59" s="287">
        <f t="shared" si="7"/>
        <v>5.7885223170787761</v>
      </c>
      <c r="K59" s="288">
        <f t="shared" si="8"/>
        <v>0.22059599999999999</v>
      </c>
      <c r="L59" s="285">
        <f t="shared" si="9"/>
        <v>434.63745199997771</v>
      </c>
      <c r="M59" s="286">
        <f t="shared" si="17"/>
        <v>249.98400000000001</v>
      </c>
      <c r="N59" s="287">
        <f t="shared" si="18"/>
        <v>272.57194652522435</v>
      </c>
      <c r="O59" s="287">
        <f t="shared" si="19"/>
        <v>193.16069191087189</v>
      </c>
      <c r="P59" s="287">
        <f t="shared" si="20"/>
        <v>10.326981143999999</v>
      </c>
    </row>
    <row r="60" spans="1:16" x14ac:dyDescent="0.3">
      <c r="A60" s="276">
        <f t="shared" si="16"/>
        <v>49</v>
      </c>
      <c r="B60" s="285">
        <f t="shared" si="0"/>
        <v>446.42657298143246</v>
      </c>
      <c r="C60" s="286">
        <f t="shared" si="15"/>
        <v>260.50849999999997</v>
      </c>
      <c r="D60" s="287">
        <f t="shared" si="1"/>
        <v>283.52539351207929</v>
      </c>
      <c r="E60" s="287">
        <f t="shared" si="2"/>
        <v>198.9616276516274</v>
      </c>
      <c r="F60" s="288">
        <f t="shared" si="3"/>
        <v>10.547577144</v>
      </c>
      <c r="G60" s="285">
        <f t="shared" si="4"/>
        <v>11.797785584880629</v>
      </c>
      <c r="H60" s="286">
        <f t="shared" si="5"/>
        <v>10.632999999999999</v>
      </c>
      <c r="I60" s="287">
        <f t="shared" si="6"/>
        <v>11.051177018437945</v>
      </c>
      <c r="J60" s="287">
        <f t="shared" si="7"/>
        <v>5.8131276255198632</v>
      </c>
      <c r="K60" s="288">
        <f t="shared" si="8"/>
        <v>0.22059599999999999</v>
      </c>
      <c r="L60" s="285">
        <f t="shared" si="9"/>
        <v>446.42657298143246</v>
      </c>
      <c r="M60" s="286">
        <f t="shared" si="17"/>
        <v>260.50849999999997</v>
      </c>
      <c r="N60" s="287">
        <f t="shared" si="18"/>
        <v>283.52539351207929</v>
      </c>
      <c r="O60" s="287">
        <f t="shared" si="19"/>
        <v>198.9616276516274</v>
      </c>
      <c r="P60" s="287">
        <f t="shared" si="20"/>
        <v>10.547577144</v>
      </c>
    </row>
    <row r="61" spans="1:16" x14ac:dyDescent="0.3">
      <c r="A61" s="276">
        <f t="shared" si="16"/>
        <v>50</v>
      </c>
      <c r="B61" s="285">
        <f t="shared" si="0"/>
        <v>458.23255491825734</v>
      </c>
      <c r="C61" s="286">
        <f t="shared" si="15"/>
        <v>271.25</v>
      </c>
      <c r="D61" s="287">
        <f t="shared" si="1"/>
        <v>294.67392446080049</v>
      </c>
      <c r="E61" s="287">
        <f t="shared" si="2"/>
        <v>204.78651586101918</v>
      </c>
      <c r="F61" s="288">
        <f t="shared" si="3"/>
        <v>10.768173143999999</v>
      </c>
      <c r="G61" s="285">
        <f t="shared" si="4"/>
        <v>11.813953756811888</v>
      </c>
      <c r="H61" s="286">
        <f t="shared" si="5"/>
        <v>10.85</v>
      </c>
      <c r="I61" s="287">
        <f t="shared" si="6"/>
        <v>11.245697371539615</v>
      </c>
      <c r="J61" s="287">
        <f t="shared" si="7"/>
        <v>5.8364389054014501</v>
      </c>
      <c r="K61" s="288">
        <f t="shared" si="8"/>
        <v>0.22059599999999999</v>
      </c>
      <c r="L61" s="285">
        <f t="shared" si="9"/>
        <v>458.23255491825734</v>
      </c>
      <c r="M61" s="286">
        <f t="shared" si="17"/>
        <v>271.25</v>
      </c>
      <c r="N61" s="287">
        <f t="shared" si="18"/>
        <v>294.67392446080049</v>
      </c>
      <c r="O61" s="287">
        <f t="shared" si="19"/>
        <v>204.78651586101918</v>
      </c>
      <c r="P61" s="287">
        <f t="shared" si="20"/>
        <v>10.768173143999999</v>
      </c>
    </row>
    <row r="62" spans="1:16" x14ac:dyDescent="0.3">
      <c r="A62" s="276">
        <f t="shared" si="16"/>
        <v>51</v>
      </c>
      <c r="B62" s="285">
        <f t="shared" si="0"/>
        <v>470.05404968289588</v>
      </c>
      <c r="C62" s="286">
        <f t="shared" si="15"/>
        <v>282.20850000000002</v>
      </c>
      <c r="D62" s="287">
        <f t="shared" si="1"/>
        <v>306.01641432283276</v>
      </c>
      <c r="E62" s="287">
        <f t="shared" si="2"/>
        <v>210.63409684427216</v>
      </c>
      <c r="F62" s="288">
        <f t="shared" si="3"/>
        <v>10.988769143999999</v>
      </c>
      <c r="G62" s="285">
        <f t="shared" si="4"/>
        <v>11.828829193092009</v>
      </c>
      <c r="H62" s="286">
        <f t="shared" si="5"/>
        <v>11.067</v>
      </c>
      <c r="I62" s="287">
        <f t="shared" si="6"/>
        <v>11.439095926415078</v>
      </c>
      <c r="J62" s="287">
        <f t="shared" si="7"/>
        <v>5.8585242115466194</v>
      </c>
      <c r="K62" s="288">
        <f t="shared" si="8"/>
        <v>0.22059599999999999</v>
      </c>
      <c r="L62" s="285">
        <f>12*50-12*12*EXP(-A62/12)*(EXP(50/12)-1)</f>
        <v>469.56765397627328</v>
      </c>
      <c r="M62" s="286">
        <f>0.217*(50*A62-50*50/2)</f>
        <v>282.10000000000002</v>
      </c>
      <c r="N62" s="287">
        <f>0.259*(172.9*50-172.9*172.9*EXP(-A62/172.9)*(EXP(50/172.9)-1))</f>
        <v>305.88716362487457</v>
      </c>
      <c r="O62" s="287">
        <f>0.338*(18.51*50-18.51*18.51*EXP(-A62/18.51)*(EXP(50/18.51)-1))</f>
        <v>210.46809957959624</v>
      </c>
      <c r="P62" s="287">
        <f>0.186*(1.186*50-1.186*1.186*EXP(-A62/1.186)*(EXP(50/1.186)-1))</f>
        <v>10.917210444431877</v>
      </c>
    </row>
    <row r="63" spans="1:16" x14ac:dyDescent="0.3">
      <c r="A63" s="276">
        <f t="shared" si="16"/>
        <v>52</v>
      </c>
      <c r="B63" s="285">
        <f t="shared" si="0"/>
        <v>481.88981693811951</v>
      </c>
      <c r="C63" s="286">
        <f t="shared" si="15"/>
        <v>293.38400000000001</v>
      </c>
      <c r="D63" s="287">
        <f t="shared" si="1"/>
        <v>317.55174453777204</v>
      </c>
      <c r="E63" s="287">
        <f t="shared" si="2"/>
        <v>216.50317715577089</v>
      </c>
      <c r="F63" s="288">
        <f t="shared" si="3"/>
        <v>11.209365144</v>
      </c>
      <c r="G63" s="285">
        <f t="shared" si="4"/>
        <v>11.842515255156709</v>
      </c>
      <c r="H63" s="286">
        <f t="shared" si="5"/>
        <v>11.284000000000001</v>
      </c>
      <c r="I63" s="287">
        <f t="shared" si="6"/>
        <v>11.631379152470954</v>
      </c>
      <c r="J63" s="287">
        <f t="shared" si="7"/>
        <v>5.879448019677425</v>
      </c>
      <c r="K63" s="288">
        <f t="shared" si="8"/>
        <v>0.22059599999999999</v>
      </c>
      <c r="L63" s="285">
        <f t="shared" ref="L63:L126" si="21">12*50-12*12*EXP(-A63/12)*(EXP(50/12)-1)</f>
        <v>479.99644855387101</v>
      </c>
      <c r="M63" s="286">
        <f t="shared" ref="M63:M126" si="22">0.217*(50*A63-50*50/2)</f>
        <v>292.95</v>
      </c>
      <c r="N63" s="287">
        <f t="shared" ref="N63:N126" si="23">0.259*(172.9*50-172.9*172.9*EXP(-A63/172.9)*(EXP(50/172.9)-1))</f>
        <v>317.0357360761675</v>
      </c>
      <c r="O63" s="287">
        <f t="shared" ref="O63:O126" si="24">0.338*(18.51*50-18.51*18.51*EXP(-A63/18.51)*(EXP(50/18.51)-1))</f>
        <v>215.85088063887613</v>
      </c>
      <c r="P63" s="287">
        <f t="shared" ref="P63:P126" si="25">0.186*(1.186*50-1.186*1.186*EXP(-A63/1.186)*(EXP(50/1.186)-1))</f>
        <v>10.981347756920538</v>
      </c>
    </row>
    <row r="64" spans="1:16" x14ac:dyDescent="0.3">
      <c r="A64" s="276">
        <f t="shared" si="16"/>
        <v>53</v>
      </c>
      <c r="B64" s="285">
        <f t="shared" si="0"/>
        <v>493.73871551858872</v>
      </c>
      <c r="C64" s="286">
        <f t="shared" si="15"/>
        <v>304.7765</v>
      </c>
      <c r="D64" s="287">
        <f t="shared" si="1"/>
        <v>329.27880299594642</v>
      </c>
      <c r="E64" s="287">
        <f t="shared" si="2"/>
        <v>222.39262611492171</v>
      </c>
      <c r="F64" s="288">
        <f t="shared" si="3"/>
        <v>11.429961144</v>
      </c>
      <c r="G64" s="285">
        <f t="shared" si="4"/>
        <v>11.855107040117606</v>
      </c>
      <c r="H64" s="286">
        <f t="shared" si="5"/>
        <v>11.500999999999999</v>
      </c>
      <c r="I64" s="287">
        <f t="shared" si="6"/>
        <v>11.822553481804821</v>
      </c>
      <c r="J64" s="287">
        <f t="shared" si="7"/>
        <v>5.899271414644967</v>
      </c>
      <c r="K64" s="288">
        <f t="shared" si="8"/>
        <v>0.22059599999999999</v>
      </c>
      <c r="L64" s="285">
        <f t="shared" si="21"/>
        <v>489.59140275630642</v>
      </c>
      <c r="M64" s="286">
        <f t="shared" si="22"/>
        <v>303.8</v>
      </c>
      <c r="N64" s="287">
        <f t="shared" si="23"/>
        <v>328.1200147473952</v>
      </c>
      <c r="O64" s="287">
        <f t="shared" si="24"/>
        <v>220.95057350046423</v>
      </c>
      <c r="P64" s="287">
        <f t="shared" si="25"/>
        <v>11.008948866450487</v>
      </c>
    </row>
    <row r="65" spans="1:16" x14ac:dyDescent="0.3">
      <c r="A65" s="276">
        <f t="shared" si="16"/>
        <v>54</v>
      </c>
      <c r="B65" s="285">
        <f t="shared" si="0"/>
        <v>505.59969550150686</v>
      </c>
      <c r="C65" s="286">
        <f t="shared" si="15"/>
        <v>316.38600000000002</v>
      </c>
      <c r="D65" s="287">
        <f t="shared" si="1"/>
        <v>341.19648400121912</v>
      </c>
      <c r="E65" s="287">
        <f t="shared" si="2"/>
        <v>228.3013725052493</v>
      </c>
      <c r="F65" s="288">
        <f t="shared" si="3"/>
        <v>11.650557143999999</v>
      </c>
      <c r="G65" s="285">
        <f t="shared" si="4"/>
        <v>11.866692041541093</v>
      </c>
      <c r="H65" s="286">
        <f t="shared" si="5"/>
        <v>11.718</v>
      </c>
      <c r="I65" s="287">
        <f t="shared" si="6"/>
        <v>12.012625309420365</v>
      </c>
      <c r="J65" s="287">
        <f t="shared" si="7"/>
        <v>5.91805226876017</v>
      </c>
      <c r="K65" s="288">
        <f t="shared" si="8"/>
        <v>0.22059599999999999</v>
      </c>
      <c r="L65" s="285">
        <f t="shared" si="21"/>
        <v>498.41918677888123</v>
      </c>
      <c r="M65" s="286">
        <f t="shared" si="22"/>
        <v>314.64999999999998</v>
      </c>
      <c r="N65" s="287">
        <f t="shared" si="23"/>
        <v>339.14037042057163</v>
      </c>
      <c r="O65" s="287">
        <f t="shared" si="24"/>
        <v>225.78206617982875</v>
      </c>
      <c r="P65" s="287">
        <f t="shared" si="25"/>
        <v>11.020826839158167</v>
      </c>
    </row>
    <row r="66" spans="1:16" x14ac:dyDescent="0.3">
      <c r="A66" s="276">
        <f t="shared" si="16"/>
        <v>55</v>
      </c>
      <c r="B66" s="285">
        <f t="shared" si="0"/>
        <v>517.47179091126907</v>
      </c>
      <c r="C66" s="286">
        <f t="shared" si="15"/>
        <v>328.21250000000003</v>
      </c>
      <c r="D66" s="287">
        <f t="shared" si="1"/>
        <v>353.30368823399573</v>
      </c>
      <c r="E66" s="287">
        <f t="shared" si="2"/>
        <v>234.22840144709355</v>
      </c>
      <c r="F66" s="288">
        <f t="shared" si="3"/>
        <v>11.871153143999997</v>
      </c>
      <c r="G66" s="285">
        <f t="shared" si="4"/>
        <v>11.877350757394245</v>
      </c>
      <c r="H66" s="286">
        <f t="shared" si="5"/>
        <v>11.935</v>
      </c>
      <c r="I66" s="287">
        <f t="shared" si="6"/>
        <v>12.201600993441319</v>
      </c>
      <c r="J66" s="287">
        <f t="shared" si="7"/>
        <v>5.9358454107458938</v>
      </c>
      <c r="K66" s="288">
        <f t="shared" si="8"/>
        <v>0.22059599999999999</v>
      </c>
      <c r="L66" s="285">
        <f t="shared" si="21"/>
        <v>506.5411401624051</v>
      </c>
      <c r="M66" s="286">
        <f t="shared" si="22"/>
        <v>325.5</v>
      </c>
      <c r="N66" s="287">
        <f t="shared" si="23"/>
        <v>350.09717173941397</v>
      </c>
      <c r="O66" s="287">
        <f t="shared" si="24"/>
        <v>230.35946371029169</v>
      </c>
      <c r="P66" s="287">
        <f t="shared" si="25"/>
        <v>11.025938453801459</v>
      </c>
    </row>
    <row r="67" spans="1:16" x14ac:dyDescent="0.3">
      <c r="A67" s="276">
        <f t="shared" si="16"/>
        <v>56</v>
      </c>
      <c r="B67" s="285">
        <f t="shared" si="0"/>
        <v>529.35411300741532</v>
      </c>
      <c r="C67" s="286">
        <f t="shared" si="15"/>
        <v>340.25599999999997</v>
      </c>
      <c r="D67" s="287">
        <f t="shared" si="1"/>
        <v>365.59932271445996</v>
      </c>
      <c r="E67" s="287">
        <f t="shared" si="2"/>
        <v>240.17275143477534</v>
      </c>
      <c r="F67" s="288">
        <f t="shared" si="3"/>
        <v>12.091749144000001</v>
      </c>
      <c r="G67" s="285">
        <f t="shared" si="4"/>
        <v>11.887157249382057</v>
      </c>
      <c r="H67" s="286">
        <f t="shared" si="5"/>
        <v>12.151999999999999</v>
      </c>
      <c r="I67" s="287">
        <f t="shared" si="6"/>
        <v>12.389486855324117</v>
      </c>
      <c r="J67" s="287">
        <f t="shared" si="7"/>
        <v>5.9527027858036039</v>
      </c>
      <c r="K67" s="288">
        <f t="shared" si="8"/>
        <v>0.22059599999999999</v>
      </c>
      <c r="L67" s="285">
        <f t="shared" si="21"/>
        <v>514.01369800879615</v>
      </c>
      <c r="M67" s="286">
        <f t="shared" si="22"/>
        <v>336.35</v>
      </c>
      <c r="N67" s="287">
        <f t="shared" si="23"/>
        <v>360.99078522167008</v>
      </c>
      <c r="O67" s="287">
        <f t="shared" si="24"/>
        <v>234.69612932118613</v>
      </c>
      <c r="P67" s="287">
        <f t="shared" si="25"/>
        <v>11.028138206646876</v>
      </c>
    </row>
    <row r="68" spans="1:16" x14ac:dyDescent="0.3">
      <c r="A68" s="276">
        <f t="shared" si="16"/>
        <v>57</v>
      </c>
      <c r="B68" s="285">
        <f t="shared" ref="B68:B131" si="26">12*A68-12*12*(1-EXP(-A68/12))</f>
        <v>541.24584410924933</v>
      </c>
      <c r="C68" s="286">
        <f t="shared" si="15"/>
        <v>352.51650000000001</v>
      </c>
      <c r="D68" s="287">
        <f t="shared" ref="D68:D131" si="27">0.259*(172.9*A68-172.9*172.9*(1-EXP(-A68/172.9)))</f>
        <v>378.08230076600194</v>
      </c>
      <c r="E68" s="287">
        <f t="shared" ref="E68:E131" si="28">0.338*(18.51*A68-18.51*18.51*(1-EXP(-A68/18.51)))</f>
        <v>246.13351152958208</v>
      </c>
      <c r="F68" s="288">
        <f t="shared" ref="F68:F131" si="29">0.186*(1.186*A68-1.186*1.186*(1-EXP(-A68/1.186)))</f>
        <v>12.312345144000002</v>
      </c>
      <c r="G68" s="285">
        <f t="shared" ref="G68:G131" si="30">12*(1-EXP(-A68/12))</f>
        <v>11.896179657562552</v>
      </c>
      <c r="H68" s="286">
        <f t="shared" ref="H68:H131" si="31">0.217*A68</f>
        <v>12.369</v>
      </c>
      <c r="I68" s="287">
        <f t="shared" ref="I68:I131" si="32">0.259*172.9*(1-EXP(-A68/172.9))</f>
        <v>12.576289180069395</v>
      </c>
      <c r="J68" s="287">
        <f t="shared" ref="J68:J131" si="33">0.338*18.51*(1-EXP(-A68/18.51))</f>
        <v>5.9686736072619109</v>
      </c>
      <c r="K68" s="288">
        <f t="shared" ref="K68:K131" si="34">0.186*1.186*(1-EXP(-A68/1.186))</f>
        <v>0.22059599999999999</v>
      </c>
      <c r="L68" s="285">
        <f t="shared" si="21"/>
        <v>520.88878311836254</v>
      </c>
      <c r="M68" s="286">
        <f t="shared" si="22"/>
        <v>347.2</v>
      </c>
      <c r="N68" s="287">
        <f t="shared" si="23"/>
        <v>371.82157527138281</v>
      </c>
      <c r="O68" s="287">
        <f t="shared" si="24"/>
        <v>238.80472345039482</v>
      </c>
      <c r="P68" s="287">
        <f t="shared" si="25"/>
        <v>11.029084857151384</v>
      </c>
    </row>
    <row r="69" spans="1:16" x14ac:dyDescent="0.3">
      <c r="A69" s="276">
        <f t="shared" si="16"/>
        <v>58</v>
      </c>
      <c r="B69" s="285">
        <f t="shared" si="26"/>
        <v>553.14623191421379</v>
      </c>
      <c r="C69" s="286">
        <f t="shared" si="15"/>
        <v>364.99400000000003</v>
      </c>
      <c r="D69" s="287">
        <f t="shared" si="27"/>
        <v>390.75154197887178</v>
      </c>
      <c r="E69" s="287">
        <f t="shared" si="28"/>
        <v>252.10981870037824</v>
      </c>
      <c r="F69" s="288">
        <f t="shared" si="29"/>
        <v>12.532941144</v>
      </c>
      <c r="G69" s="285">
        <f t="shared" si="30"/>
        <v>11.904480673815522</v>
      </c>
      <c r="H69" s="286">
        <f t="shared" si="31"/>
        <v>12.586</v>
      </c>
      <c r="I69" s="287">
        <f t="shared" si="32"/>
        <v>12.762014216432204</v>
      </c>
      <c r="J69" s="287">
        <f t="shared" si="33"/>
        <v>5.9838045002496942</v>
      </c>
      <c r="K69" s="288">
        <f t="shared" si="34"/>
        <v>0.22059599999999999</v>
      </c>
      <c r="L69" s="285">
        <f t="shared" si="21"/>
        <v>527.21416677352045</v>
      </c>
      <c r="M69" s="286">
        <f t="shared" si="22"/>
        <v>358.05</v>
      </c>
      <c r="N69" s="287">
        <f t="shared" si="23"/>
        <v>382.5899041910784</v>
      </c>
      <c r="O69" s="287">
        <f t="shared" si="24"/>
        <v>242.69724070516332</v>
      </c>
      <c r="P69" s="287">
        <f t="shared" si="25"/>
        <v>11.029492242544498</v>
      </c>
    </row>
    <row r="70" spans="1:16" x14ac:dyDescent="0.3">
      <c r="A70" s="276">
        <f t="shared" si="16"/>
        <v>59</v>
      </c>
      <c r="B70" s="285">
        <f t="shared" si="26"/>
        <v>565.05458427054225</v>
      </c>
      <c r="C70" s="286">
        <f t="shared" ref="C70:C133" si="35">0.217*A70*A70/2</f>
        <v>377.68849999999998</v>
      </c>
      <c r="D70" s="287">
        <f t="shared" si="27"/>
        <v>403.60597217404256</v>
      </c>
      <c r="E70" s="287">
        <f t="shared" si="28"/>
        <v>258.10085530407696</v>
      </c>
      <c r="F70" s="288">
        <f t="shared" si="29"/>
        <v>12.753537143999999</v>
      </c>
      <c r="G70" s="285">
        <f t="shared" si="30"/>
        <v>11.912117977454816</v>
      </c>
      <c r="H70" s="286">
        <f t="shared" si="31"/>
        <v>12.802999999999999</v>
      </c>
      <c r="I70" s="287">
        <f t="shared" si="32"/>
        <v>12.946668177131043</v>
      </c>
      <c r="J70" s="287">
        <f t="shared" si="33"/>
        <v>5.9981396378132441</v>
      </c>
      <c r="K70" s="288">
        <f t="shared" si="34"/>
        <v>0.22059599999999999</v>
      </c>
      <c r="L70" s="285">
        <f t="shared" si="21"/>
        <v>533.03380067583612</v>
      </c>
      <c r="M70" s="286">
        <f t="shared" si="22"/>
        <v>368.9</v>
      </c>
      <c r="N70" s="287">
        <f t="shared" si="23"/>
        <v>393.29613219388358</v>
      </c>
      <c r="O70" s="287">
        <f t="shared" si="24"/>
        <v>246.38504487909114</v>
      </c>
      <c r="P70" s="287">
        <f t="shared" si="25"/>
        <v>11.029667558416335</v>
      </c>
    </row>
    <row r="71" spans="1:16" x14ac:dyDescent="0.3">
      <c r="A71" s="276">
        <f t="shared" si="16"/>
        <v>60</v>
      </c>
      <c r="B71" s="285">
        <f t="shared" si="26"/>
        <v>576.97026436786837</v>
      </c>
      <c r="C71" s="286">
        <f t="shared" si="35"/>
        <v>390.59999999999997</v>
      </c>
      <c r="D71" s="287">
        <f t="shared" si="27"/>
        <v>416.64452336727123</v>
      </c>
      <c r="E71" s="287">
        <f t="shared" si="28"/>
        <v>264.1058466986172</v>
      </c>
      <c r="F71" s="288">
        <f t="shared" si="29"/>
        <v>12.974133144000001</v>
      </c>
      <c r="G71" s="285">
        <f t="shared" si="30"/>
        <v>11.919144636010975</v>
      </c>
      <c r="H71" s="286">
        <f t="shared" si="31"/>
        <v>13.02</v>
      </c>
      <c r="I71" s="287">
        <f t="shared" si="32"/>
        <v>13.130257239055689</v>
      </c>
      <c r="J71" s="287">
        <f t="shared" si="33"/>
        <v>6.011720869874817</v>
      </c>
      <c r="K71" s="288">
        <f t="shared" si="34"/>
        <v>0.22059599999999999</v>
      </c>
      <c r="L71" s="285">
        <f t="shared" si="21"/>
        <v>538.38812234284899</v>
      </c>
      <c r="M71" s="286">
        <f t="shared" si="22"/>
        <v>379.75</v>
      </c>
      <c r="N71" s="287">
        <f t="shared" si="23"/>
        <v>403.94061741557982</v>
      </c>
      <c r="O71" s="287">
        <f t="shared" si="24"/>
        <v>249.87890212752811</v>
      </c>
      <c r="P71" s="287">
        <f t="shared" si="25"/>
        <v>11.029743004555145</v>
      </c>
    </row>
    <row r="72" spans="1:16" x14ac:dyDescent="0.3">
      <c r="A72" s="276">
        <f t="shared" si="16"/>
        <v>61</v>
      </c>
      <c r="B72" s="285">
        <f t="shared" si="26"/>
        <v>588.8926863123711</v>
      </c>
      <c r="C72" s="286">
        <f t="shared" si="35"/>
        <v>403.7285</v>
      </c>
      <c r="D72" s="287">
        <f t="shared" si="27"/>
        <v>429.86613373337838</v>
      </c>
      <c r="E72" s="287">
        <f t="shared" si="28"/>
        <v>270.12405898147824</v>
      </c>
      <c r="F72" s="288">
        <f t="shared" si="29"/>
        <v>13.194729144000002</v>
      </c>
      <c r="G72" s="285">
        <f t="shared" si="30"/>
        <v>11.925609473969075</v>
      </c>
      <c r="H72" s="286">
        <f t="shared" si="31"/>
        <v>13.237</v>
      </c>
      <c r="I72" s="287">
        <f t="shared" si="32"/>
        <v>13.312787543473808</v>
      </c>
      <c r="J72" s="287">
        <f t="shared" si="33"/>
        <v>6.0245878454090667</v>
      </c>
      <c r="K72" s="288">
        <f t="shared" si="34"/>
        <v>0.22059599999999999</v>
      </c>
      <c r="L72" s="285">
        <f t="shared" si="21"/>
        <v>543.31433608671307</v>
      </c>
      <c r="M72" s="286">
        <f t="shared" si="22"/>
        <v>390.6</v>
      </c>
      <c r="N72" s="287">
        <f t="shared" si="23"/>
        <v>414.52371592657863</v>
      </c>
      <c r="O72" s="287">
        <f t="shared" si="24"/>
        <v>253.18901239822998</v>
      </c>
      <c r="P72" s="287">
        <f t="shared" si="25"/>
        <v>11.02977547235057</v>
      </c>
    </row>
    <row r="73" spans="1:16" x14ac:dyDescent="0.3">
      <c r="A73" s="276">
        <f t="shared" si="16"/>
        <v>62</v>
      </c>
      <c r="B73" s="285">
        <f t="shared" si="26"/>
        <v>600.82131105571307</v>
      </c>
      <c r="C73" s="286">
        <f t="shared" si="35"/>
        <v>417.07400000000001</v>
      </c>
      <c r="D73" s="287">
        <f t="shared" si="27"/>
        <v>443.26974757072503</v>
      </c>
      <c r="E73" s="287">
        <f t="shared" si="28"/>
        <v>276.15479684712835</v>
      </c>
      <c r="F73" s="288">
        <f t="shared" si="29"/>
        <v>13.415325144000001</v>
      </c>
      <c r="G73" s="285">
        <f t="shared" si="30"/>
        <v>11.931557412023912</v>
      </c>
      <c r="H73" s="286">
        <f t="shared" si="31"/>
        <v>13.454000000000001</v>
      </c>
      <c r="I73" s="287">
        <f t="shared" si="32"/>
        <v>13.494265196236409</v>
      </c>
      <c r="J73" s="287">
        <f t="shared" si="33"/>
        <v>6.0367781281940429</v>
      </c>
      <c r="K73" s="288">
        <f t="shared" si="34"/>
        <v>0.22059599999999999</v>
      </c>
      <c r="L73" s="285">
        <f t="shared" si="21"/>
        <v>547.84667152702536</v>
      </c>
      <c r="M73" s="286">
        <f t="shared" si="22"/>
        <v>401.45</v>
      </c>
      <c r="N73" s="287">
        <f t="shared" si="23"/>
        <v>425.04578174383556</v>
      </c>
      <c r="O73" s="287">
        <f t="shared" si="24"/>
        <v>256.32503920902991</v>
      </c>
      <c r="P73" s="287">
        <f t="shared" si="25"/>
        <v>11.029789444672497</v>
      </c>
    </row>
    <row r="74" spans="1:16" x14ac:dyDescent="0.3">
      <c r="A74" s="276">
        <f t="shared" si="16"/>
        <v>63</v>
      </c>
      <c r="B74" s="285">
        <f t="shared" si="26"/>
        <v>612.75564264948207</v>
      </c>
      <c r="C74" s="286">
        <f t="shared" si="35"/>
        <v>430.63649999999996</v>
      </c>
      <c r="D74" s="287">
        <f t="shared" si="27"/>
        <v>456.85431526590145</v>
      </c>
      <c r="E74" s="287">
        <f t="shared" si="28"/>
        <v>282.19740155715363</v>
      </c>
      <c r="F74" s="288">
        <f t="shared" si="29"/>
        <v>13.635921143999999</v>
      </c>
      <c r="G74" s="285">
        <f t="shared" si="30"/>
        <v>11.937029779209823</v>
      </c>
      <c r="H74" s="286">
        <f t="shared" si="31"/>
        <v>13.670999999999999</v>
      </c>
      <c r="I74" s="287">
        <f t="shared" si="32"/>
        <v>13.674696267982062</v>
      </c>
      <c r="J74" s="287">
        <f t="shared" si="33"/>
        <v>6.0483273064746861</v>
      </c>
      <c r="K74" s="288">
        <f t="shared" si="34"/>
        <v>0.22059599999999999</v>
      </c>
      <c r="L74" s="285">
        <f t="shared" si="21"/>
        <v>552.01662143411124</v>
      </c>
      <c r="M74" s="286">
        <f t="shared" si="22"/>
        <v>412.3</v>
      </c>
      <c r="N74" s="287">
        <f t="shared" si="23"/>
        <v>435.50716684269156</v>
      </c>
      <c r="O74" s="287">
        <f t="shared" si="24"/>
        <v>259.29613785945975</v>
      </c>
      <c r="P74" s="287">
        <f t="shared" si="25"/>
        <v>11.029795457577823</v>
      </c>
    </row>
    <row r="75" spans="1:16" x14ac:dyDescent="0.3">
      <c r="A75" s="276">
        <f t="shared" si="16"/>
        <v>64</v>
      </c>
      <c r="B75" s="285">
        <f t="shared" si="26"/>
        <v>624.69522479911166</v>
      </c>
      <c r="C75" s="286">
        <f t="shared" si="35"/>
        <v>444.416</v>
      </c>
      <c r="D75" s="287">
        <f t="shared" si="27"/>
        <v>470.61879325861366</v>
      </c>
      <c r="E75" s="287">
        <f t="shared" si="28"/>
        <v>288.25124901714099</v>
      </c>
      <c r="F75" s="288">
        <f t="shared" si="29"/>
        <v>13.856517144</v>
      </c>
      <c r="G75" s="285">
        <f t="shared" si="30"/>
        <v>11.942064600074023</v>
      </c>
      <c r="H75" s="286">
        <f t="shared" si="31"/>
        <v>13.888</v>
      </c>
      <c r="I75" s="287">
        <f t="shared" si="32"/>
        <v>13.854086794340001</v>
      </c>
      <c r="J75" s="287">
        <f t="shared" si="33"/>
        <v>6.0592690968589453</v>
      </c>
      <c r="K75" s="288">
        <f t="shared" si="34"/>
        <v>0.22059599999999999</v>
      </c>
      <c r="L75" s="285">
        <f t="shared" si="21"/>
        <v>555.85316055540966</v>
      </c>
      <c r="M75" s="286">
        <f t="shared" si="22"/>
        <v>423.15</v>
      </c>
      <c r="N75" s="287">
        <f t="shared" si="23"/>
        <v>445.90822116864649</v>
      </c>
      <c r="O75" s="287">
        <f t="shared" si="24"/>
        <v>262.11098215868111</v>
      </c>
      <c r="P75" s="287">
        <f t="shared" si="25"/>
        <v>11.029798045195735</v>
      </c>
    </row>
    <row r="76" spans="1:16" x14ac:dyDescent="0.3">
      <c r="A76" s="276">
        <f t="shared" si="16"/>
        <v>65</v>
      </c>
      <c r="B76" s="285">
        <f t="shared" si="26"/>
        <v>636.63963769333452</v>
      </c>
      <c r="C76" s="286">
        <f t="shared" si="35"/>
        <v>458.41250000000002</v>
      </c>
      <c r="D76" s="287">
        <f t="shared" si="27"/>
        <v>484.56214400677743</v>
      </c>
      <c r="E76" s="287">
        <f t="shared" si="28"/>
        <v>294.31574795469999</v>
      </c>
      <c r="F76" s="288">
        <f t="shared" si="29"/>
        <v>14.077113144000002</v>
      </c>
      <c r="G76" s="285">
        <f t="shared" si="30"/>
        <v>11.946696858888789</v>
      </c>
      <c r="H76" s="286">
        <f t="shared" si="31"/>
        <v>14.105</v>
      </c>
      <c r="I76" s="287">
        <f t="shared" si="32"/>
        <v>14.032442776131997</v>
      </c>
      <c r="J76" s="287">
        <f t="shared" si="33"/>
        <v>6.0696354427498669</v>
      </c>
      <c r="K76" s="288">
        <f t="shared" si="34"/>
        <v>0.22059599999999999</v>
      </c>
      <c r="L76" s="285">
        <f t="shared" si="21"/>
        <v>559.38294694546721</v>
      </c>
      <c r="M76" s="286">
        <f t="shared" si="22"/>
        <v>434</v>
      </c>
      <c r="N76" s="287">
        <f t="shared" si="23"/>
        <v>456.24929264906666</v>
      </c>
      <c r="O76" s="287">
        <f t="shared" si="24"/>
        <v>264.77778974775691</v>
      </c>
      <c r="P76" s="287">
        <f t="shared" si="25"/>
        <v>11.029799158761653</v>
      </c>
    </row>
    <row r="77" spans="1:16" x14ac:dyDescent="0.3">
      <c r="A77" s="276">
        <f t="shared" si="16"/>
        <v>66</v>
      </c>
      <c r="B77" s="285">
        <f t="shared" si="26"/>
        <v>648.58849508713888</v>
      </c>
      <c r="C77" s="286">
        <f t="shared" si="35"/>
        <v>472.62599999999998</v>
      </c>
      <c r="D77" s="287">
        <f t="shared" si="27"/>
        <v>498.68333595180985</v>
      </c>
      <c r="E77" s="287">
        <f t="shared" si="28"/>
        <v>300.39033819330575</v>
      </c>
      <c r="F77" s="288">
        <f t="shared" si="29"/>
        <v>14.297709144000001</v>
      </c>
      <c r="G77" s="285">
        <f t="shared" si="30"/>
        <v>11.950958742738433</v>
      </c>
      <c r="H77" s="286">
        <f t="shared" si="31"/>
        <v>14.321999999999999</v>
      </c>
      <c r="I77" s="287">
        <f t="shared" si="32"/>
        <v>14.209770179573106</v>
      </c>
      <c r="J77" s="287">
        <f t="shared" si="33"/>
        <v>6.0794566076009895</v>
      </c>
      <c r="K77" s="288">
        <f t="shared" si="34"/>
        <v>0.22059599999999999</v>
      </c>
      <c r="L77" s="285">
        <f t="shared" si="21"/>
        <v>562.63050719847411</v>
      </c>
      <c r="M77" s="286">
        <f t="shared" si="22"/>
        <v>444.85</v>
      </c>
      <c r="N77" s="287">
        <f t="shared" si="23"/>
        <v>466.53072720482112</v>
      </c>
      <c r="O77" s="287">
        <f t="shared" si="24"/>
        <v>267.30434609018761</v>
      </c>
      <c r="P77" s="287">
        <f t="shared" si="25"/>
        <v>11.029799637978099</v>
      </c>
    </row>
    <row r="78" spans="1:16" x14ac:dyDescent="0.3">
      <c r="A78" s="276">
        <f t="shared" ref="A78:A141" si="36">A77+1</f>
        <v>67</v>
      </c>
      <c r="B78" s="285">
        <f t="shared" si="26"/>
        <v>660.54144161795887</v>
      </c>
      <c r="C78" s="286">
        <f t="shared" si="35"/>
        <v>487.05649999999997</v>
      </c>
      <c r="D78" s="287">
        <f t="shared" si="27"/>
        <v>512.9813434841227</v>
      </c>
      <c r="E78" s="287">
        <f t="shared" si="28"/>
        <v>306.47448901692223</v>
      </c>
      <c r="F78" s="288">
        <f t="shared" si="29"/>
        <v>14.518305143999999</v>
      </c>
      <c r="G78" s="285">
        <f t="shared" si="30"/>
        <v>11.954879865170094</v>
      </c>
      <c r="H78" s="286">
        <f t="shared" si="31"/>
        <v>14.539</v>
      </c>
      <c r="I78" s="287">
        <f t="shared" si="32"/>
        <v>14.386074936471241</v>
      </c>
      <c r="J78" s="287">
        <f t="shared" si="33"/>
        <v>6.0887612632673029</v>
      </c>
      <c r="K78" s="288">
        <f t="shared" si="34"/>
        <v>0.22059599999999999</v>
      </c>
      <c r="L78" s="285">
        <f t="shared" si="21"/>
        <v>565.61840687042547</v>
      </c>
      <c r="M78" s="286">
        <f t="shared" si="22"/>
        <v>455.7</v>
      </c>
      <c r="N78" s="287">
        <f t="shared" si="23"/>
        <v>476.75286876185561</v>
      </c>
      <c r="O78" s="287">
        <f t="shared" si="24"/>
        <v>269.6980272007504</v>
      </c>
      <c r="P78" s="287">
        <f t="shared" si="25"/>
        <v>11.029799844206035</v>
      </c>
    </row>
    <row r="79" spans="1:16" x14ac:dyDescent="0.3">
      <c r="A79" s="276">
        <f t="shared" si="36"/>
        <v>68</v>
      </c>
      <c r="B79" s="285">
        <f t="shared" si="26"/>
        <v>672.49815033645086</v>
      </c>
      <c r="C79" s="286">
        <f t="shared" si="35"/>
        <v>501.70400000000001</v>
      </c>
      <c r="D79" s="287">
        <f t="shared" si="27"/>
        <v>527.45514690881498</v>
      </c>
      <c r="E79" s="287">
        <f t="shared" si="28"/>
        <v>312.5676976206334</v>
      </c>
      <c r="F79" s="288">
        <f t="shared" si="29"/>
        <v>14.738901144</v>
      </c>
      <c r="G79" s="285">
        <f t="shared" si="30"/>
        <v>11.958487471962423</v>
      </c>
      <c r="H79" s="286">
        <f t="shared" si="31"/>
        <v>14.756</v>
      </c>
      <c r="I79" s="287">
        <f t="shared" si="32"/>
        <v>14.561362944425591</v>
      </c>
      <c r="J79" s="287">
        <f t="shared" si="33"/>
        <v>6.0975765737097047</v>
      </c>
      <c r="K79" s="288">
        <f t="shared" si="34"/>
        <v>0.22059599999999999</v>
      </c>
      <c r="L79" s="285">
        <f t="shared" si="21"/>
        <v>568.36740727507708</v>
      </c>
      <c r="M79" s="286">
        <f t="shared" si="22"/>
        <v>466.55</v>
      </c>
      <c r="N79" s="287">
        <f t="shared" si="23"/>
        <v>486.91605926269546</v>
      </c>
      <c r="O79" s="287">
        <f t="shared" si="24"/>
        <v>271.96582117899715</v>
      </c>
      <c r="P79" s="287">
        <f t="shared" si="25"/>
        <v>11.029799932954997</v>
      </c>
    </row>
    <row r="80" spans="1:16" x14ac:dyDescent="0.3">
      <c r="A80" s="276">
        <f t="shared" si="36"/>
        <v>69</v>
      </c>
      <c r="B80" s="285">
        <f t="shared" si="26"/>
        <v>684.45832043469738</v>
      </c>
      <c r="C80" s="286">
        <f t="shared" si="35"/>
        <v>516.56849999999997</v>
      </c>
      <c r="D80" s="287">
        <f t="shared" si="27"/>
        <v>542.1037324115639</v>
      </c>
      <c r="E80" s="287">
        <f t="shared" si="28"/>
        <v>318.66948764275662</v>
      </c>
      <c r="F80" s="288">
        <f t="shared" si="29"/>
        <v>14.959497144000002</v>
      </c>
      <c r="G80" s="285">
        <f t="shared" si="30"/>
        <v>11.961806630441885</v>
      </c>
      <c r="H80" s="286">
        <f t="shared" si="31"/>
        <v>14.973000000000001</v>
      </c>
      <c r="I80" s="287">
        <f t="shared" si="32"/>
        <v>14.735640067023922</v>
      </c>
      <c r="J80" s="287">
        <f t="shared" si="33"/>
        <v>6.1059282742973213</v>
      </c>
      <c r="K80" s="288">
        <f t="shared" si="34"/>
        <v>0.22059599999999999</v>
      </c>
      <c r="L80" s="285">
        <f t="shared" si="21"/>
        <v>570.89660974319042</v>
      </c>
      <c r="M80" s="286">
        <f t="shared" si="22"/>
        <v>477.4</v>
      </c>
      <c r="N80" s="287">
        <f t="shared" si="23"/>
        <v>497.02063867788468</v>
      </c>
      <c r="O80" s="287">
        <f t="shared" si="24"/>
        <v>274.11434861027345</v>
      </c>
      <c r="P80" s="287">
        <f t="shared" si="25"/>
        <v>11.029799971147582</v>
      </c>
    </row>
    <row r="81" spans="1:16" x14ac:dyDescent="0.3">
      <c r="A81" s="276">
        <f t="shared" si="36"/>
        <v>70</v>
      </c>
      <c r="B81" s="285">
        <f t="shared" si="26"/>
        <v>696.42167515605388</v>
      </c>
      <c r="C81" s="286">
        <f t="shared" si="35"/>
        <v>531.65</v>
      </c>
      <c r="D81" s="287">
        <f t="shared" si="27"/>
        <v>556.92609202470885</v>
      </c>
      <c r="E81" s="287">
        <f t="shared" si="28"/>
        <v>324.7794077741554</v>
      </c>
      <c r="F81" s="288">
        <f t="shared" si="29"/>
        <v>15.180093144000001</v>
      </c>
      <c r="G81" s="285">
        <f t="shared" si="30"/>
        <v>11.964860403662181</v>
      </c>
      <c r="H81" s="286">
        <f t="shared" si="31"/>
        <v>15.19</v>
      </c>
      <c r="I81" s="287">
        <f t="shared" si="32"/>
        <v>14.908912134038699</v>
      </c>
      <c r="J81" s="287">
        <f t="shared" si="33"/>
        <v>6.1138407469392018</v>
      </c>
      <c r="K81" s="288">
        <f t="shared" si="34"/>
        <v>0.22059599999999999</v>
      </c>
      <c r="L81" s="285">
        <f t="shared" si="21"/>
        <v>573.22358834744489</v>
      </c>
      <c r="M81" s="286">
        <f t="shared" si="22"/>
        <v>488.25</v>
      </c>
      <c r="N81" s="287">
        <f t="shared" si="23"/>
        <v>507.06694501735757</v>
      </c>
      <c r="O81" s="287">
        <f t="shared" si="24"/>
        <v>276.14988189381967</v>
      </c>
      <c r="P81" s="287">
        <f t="shared" si="25"/>
        <v>11.029799987583534</v>
      </c>
    </row>
    <row r="82" spans="1:16" x14ac:dyDescent="0.3">
      <c r="A82" s="276">
        <f t="shared" si="36"/>
        <v>71</v>
      </c>
      <c r="B82" s="285">
        <f t="shared" si="26"/>
        <v>708.38795987211529</v>
      </c>
      <c r="C82" s="286">
        <f t="shared" si="35"/>
        <v>546.94849999999997</v>
      </c>
      <c r="D82" s="287">
        <f t="shared" si="27"/>
        <v>571.92122359353607</v>
      </c>
      <c r="E82" s="287">
        <f t="shared" si="28"/>
        <v>330.89703044068978</v>
      </c>
      <c r="F82" s="288">
        <f t="shared" si="29"/>
        <v>15.400689143999999</v>
      </c>
      <c r="G82" s="285">
        <f t="shared" si="30"/>
        <v>11.967670010657063</v>
      </c>
      <c r="H82" s="286">
        <f t="shared" si="31"/>
        <v>15.407</v>
      </c>
      <c r="I82" s="287">
        <f t="shared" si="32"/>
        <v>15.081184941622116</v>
      </c>
      <c r="J82" s="287">
        <f t="shared" si="33"/>
        <v>6.121337091264734</v>
      </c>
      <c r="K82" s="288">
        <f t="shared" si="34"/>
        <v>0.22059599999999999</v>
      </c>
      <c r="L82" s="285">
        <f t="shared" si="21"/>
        <v>575.36451201525119</v>
      </c>
      <c r="M82" s="286">
        <f t="shared" si="22"/>
        <v>499.1</v>
      </c>
      <c r="N82" s="287">
        <f t="shared" si="23"/>
        <v>517.05531434174839</v>
      </c>
      <c r="O82" s="287">
        <f t="shared" si="24"/>
        <v>278.0783635543786</v>
      </c>
      <c r="P82" s="287">
        <f t="shared" si="25"/>
        <v>11.029799994656647</v>
      </c>
    </row>
    <row r="83" spans="1:16" x14ac:dyDescent="0.3">
      <c r="A83" s="276">
        <f t="shared" si="36"/>
        <v>72</v>
      </c>
      <c r="B83" s="285">
        <f t="shared" si="26"/>
        <v>720.35694031343996</v>
      </c>
      <c r="C83" s="286">
        <f t="shared" si="35"/>
        <v>562.46400000000006</v>
      </c>
      <c r="D83" s="287">
        <f t="shared" si="27"/>
        <v>587.0881307427544</v>
      </c>
      <c r="E83" s="287">
        <f t="shared" si="28"/>
        <v>337.02195055495889</v>
      </c>
      <c r="F83" s="288">
        <f t="shared" si="29"/>
        <v>15.621285144</v>
      </c>
      <c r="G83" s="285">
        <f t="shared" si="30"/>
        <v>11.970254973880003</v>
      </c>
      <c r="H83" s="286">
        <f t="shared" si="31"/>
        <v>15.624000000000001</v>
      </c>
      <c r="I83" s="287">
        <f t="shared" si="32"/>
        <v>15.252464252499975</v>
      </c>
      <c r="J83" s="287">
        <f t="shared" si="33"/>
        <v>6.1284391920605694</v>
      </c>
      <c r="K83" s="288">
        <f t="shared" si="34"/>
        <v>0.22059599999999999</v>
      </c>
      <c r="L83" s="285">
        <f t="shared" si="21"/>
        <v>577.33425687796398</v>
      </c>
      <c r="M83" s="286">
        <f t="shared" si="22"/>
        <v>509.95</v>
      </c>
      <c r="N83" s="287">
        <f t="shared" si="23"/>
        <v>526.9860807736286</v>
      </c>
      <c r="O83" s="287">
        <f t="shared" si="24"/>
        <v>279.90542359077023</v>
      </c>
      <c r="P83" s="287">
        <f t="shared" si="25"/>
        <v>11.02979999770052</v>
      </c>
    </row>
    <row r="84" spans="1:16" x14ac:dyDescent="0.3">
      <c r="A84" s="276">
        <f t="shared" si="36"/>
        <v>73</v>
      </c>
      <c r="B84" s="285">
        <f t="shared" si="26"/>
        <v>732.3284009417365</v>
      </c>
      <c r="C84" s="286">
        <f t="shared" si="35"/>
        <v>578.19650000000001</v>
      </c>
      <c r="D84" s="287">
        <f t="shared" si="27"/>
        <v>602.42582284316518</v>
      </c>
      <c r="E84" s="287">
        <f t="shared" si="28"/>
        <v>343.15378433369074</v>
      </c>
      <c r="F84" s="288">
        <f t="shared" si="29"/>
        <v>15.841881144000002</v>
      </c>
      <c r="G84" s="285">
        <f t="shared" si="30"/>
        <v>11.972633254855294</v>
      </c>
      <c r="H84" s="286">
        <f t="shared" si="31"/>
        <v>15.840999999999999</v>
      </c>
      <c r="I84" s="287">
        <f t="shared" si="32"/>
        <v>15.422755796164457</v>
      </c>
      <c r="J84" s="287">
        <f t="shared" si="33"/>
        <v>6.1351677831609566</v>
      </c>
      <c r="K84" s="288">
        <f t="shared" si="34"/>
        <v>0.22059599999999999</v>
      </c>
      <c r="L84" s="285">
        <f t="shared" si="21"/>
        <v>579.1465096371478</v>
      </c>
      <c r="M84" s="286">
        <f t="shared" si="22"/>
        <v>520.79999999999995</v>
      </c>
      <c r="N84" s="287">
        <f t="shared" si="23"/>
        <v>536.85957650868716</v>
      </c>
      <c r="O84" s="287">
        <f t="shared" si="24"/>
        <v>281.63639591207914</v>
      </c>
      <c r="P84" s="287">
        <f t="shared" si="25"/>
        <v>11.029799999010432</v>
      </c>
    </row>
    <row r="85" spans="1:16" x14ac:dyDescent="0.3">
      <c r="A85" s="276">
        <f t="shared" si="36"/>
        <v>74</v>
      </c>
      <c r="B85" s="285">
        <f t="shared" si="26"/>
        <v>744.30214345220361</v>
      </c>
      <c r="C85" s="286">
        <f t="shared" si="35"/>
        <v>594.14599999999996</v>
      </c>
      <c r="D85" s="287">
        <f t="shared" si="27"/>
        <v>617.93331497852671</v>
      </c>
      <c r="E85" s="287">
        <f t="shared" si="28"/>
        <v>349.29216817732765</v>
      </c>
      <c r="F85" s="288">
        <f t="shared" si="29"/>
        <v>16.062477143999999</v>
      </c>
      <c r="G85" s="285">
        <f t="shared" si="30"/>
        <v>11.97482137898303</v>
      </c>
      <c r="H85" s="286">
        <f t="shared" si="31"/>
        <v>16.058</v>
      </c>
      <c r="I85" s="287">
        <f t="shared" si="32"/>
        <v>15.592065269065777</v>
      </c>
      <c r="J85" s="287">
        <f t="shared" si="33"/>
        <v>6.1415425079779791</v>
      </c>
      <c r="K85" s="288">
        <f t="shared" si="34"/>
        <v>0.22059599999999999</v>
      </c>
      <c r="L85" s="285">
        <f t="shared" si="21"/>
        <v>580.8138626661314</v>
      </c>
      <c r="M85" s="286">
        <f t="shared" si="22"/>
        <v>531.65</v>
      </c>
      <c r="N85" s="287">
        <f t="shared" si="23"/>
        <v>546.67613182684124</v>
      </c>
      <c r="O85" s="287">
        <f t="shared" si="24"/>
        <v>283.2763339094397</v>
      </c>
      <c r="P85" s="287">
        <f t="shared" si="25"/>
        <v>11.029799999574145</v>
      </c>
    </row>
    <row r="86" spans="1:16" x14ac:dyDescent="0.3">
      <c r="A86" s="276">
        <f t="shared" si="36"/>
        <v>75</v>
      </c>
      <c r="B86" s="285">
        <f t="shared" si="26"/>
        <v>756.27798539561672</v>
      </c>
      <c r="C86" s="286">
        <f t="shared" si="35"/>
        <v>610.3125</v>
      </c>
      <c r="D86" s="287">
        <f t="shared" si="27"/>
        <v>633.60962791260476</v>
      </c>
      <c r="E86" s="287">
        <f t="shared" si="28"/>
        <v>355.43675760853574</v>
      </c>
      <c r="F86" s="288">
        <f t="shared" si="29"/>
        <v>16.283073143999999</v>
      </c>
      <c r="G86" s="285">
        <f t="shared" si="30"/>
        <v>11.976834550365268</v>
      </c>
      <c r="H86" s="286">
        <f t="shared" si="31"/>
        <v>16.274999999999999</v>
      </c>
      <c r="I86" s="287">
        <f t="shared" si="32"/>
        <v>15.760398334802746</v>
      </c>
      <c r="J86" s="287">
        <f t="shared" si="33"/>
        <v>6.1475819768484268</v>
      </c>
      <c r="K86" s="288">
        <f t="shared" si="34"/>
        <v>0.22059599999999999</v>
      </c>
      <c r="L86" s="285">
        <f t="shared" si="21"/>
        <v>582.3479015076631</v>
      </c>
      <c r="M86" s="286">
        <f t="shared" si="22"/>
        <v>542.5</v>
      </c>
      <c r="N86" s="287">
        <f t="shared" si="23"/>
        <v>556.43607510328457</v>
      </c>
      <c r="O86" s="287">
        <f t="shared" si="24"/>
        <v>284.8300252088784</v>
      </c>
      <c r="P86" s="287">
        <f t="shared" si="25"/>
        <v>11.029799999816737</v>
      </c>
    </row>
    <row r="87" spans="1:16" x14ac:dyDescent="0.3">
      <c r="A87" s="276">
        <f t="shared" si="36"/>
        <v>76</v>
      </c>
      <c r="B87" s="285">
        <f t="shared" si="26"/>
        <v>768.25575891058577</v>
      </c>
      <c r="C87" s="286">
        <f t="shared" si="35"/>
        <v>626.69600000000003</v>
      </c>
      <c r="D87" s="287">
        <f t="shared" si="27"/>
        <v>649.45378805641758</v>
      </c>
      <c r="E87" s="287">
        <f t="shared" si="28"/>
        <v>361.58722626653929</v>
      </c>
      <c r="F87" s="288">
        <f t="shared" si="29"/>
        <v>16.503669144</v>
      </c>
      <c r="G87" s="285">
        <f t="shared" si="30"/>
        <v>11.978686757451186</v>
      </c>
      <c r="H87" s="286">
        <f t="shared" si="31"/>
        <v>16.492000000000001</v>
      </c>
      <c r="I87" s="287">
        <f t="shared" si="32"/>
        <v>15.927760624312217</v>
      </c>
      <c r="J87" s="287">
        <f t="shared" si="33"/>
        <v>6.1533038213647133</v>
      </c>
      <c r="K87" s="288">
        <f t="shared" si="34"/>
        <v>0.22059599999999999</v>
      </c>
      <c r="L87" s="285">
        <f t="shared" si="21"/>
        <v>583.75928537563868</v>
      </c>
      <c r="M87" s="286">
        <f t="shared" si="22"/>
        <v>553.35</v>
      </c>
      <c r="N87" s="287">
        <f t="shared" si="23"/>
        <v>566.13973281947221</v>
      </c>
      <c r="O87" s="287">
        <f t="shared" si="24"/>
        <v>286.30200564828328</v>
      </c>
      <c r="P87" s="287">
        <f t="shared" si="25"/>
        <v>11.029799999921133</v>
      </c>
    </row>
    <row r="88" spans="1:16" x14ac:dyDescent="0.3">
      <c r="A88" s="276">
        <f t="shared" si="36"/>
        <v>77</v>
      </c>
      <c r="B88" s="285">
        <f t="shared" si="26"/>
        <v>780.23530955717615</v>
      </c>
      <c r="C88" s="286">
        <f t="shared" si="35"/>
        <v>643.29650000000004</v>
      </c>
      <c r="D88" s="287">
        <f t="shared" si="27"/>
        <v>665.46482743566685</v>
      </c>
      <c r="E88" s="287">
        <f t="shared" si="28"/>
        <v>367.74326495434536</v>
      </c>
      <c r="F88" s="288">
        <f t="shared" si="29"/>
        <v>16.724265144</v>
      </c>
      <c r="G88" s="285">
        <f t="shared" si="30"/>
        <v>11.980390870235325</v>
      </c>
      <c r="H88" s="286">
        <f t="shared" si="31"/>
        <v>16.709</v>
      </c>
      <c r="I88" s="287">
        <f t="shared" si="32"/>
        <v>16.094157736057451</v>
      </c>
      <c r="J88" s="287">
        <f t="shared" si="33"/>
        <v>6.1587247458484446</v>
      </c>
      <c r="K88" s="288">
        <f t="shared" si="34"/>
        <v>0.22059599999999999</v>
      </c>
      <c r="L88" s="285">
        <f t="shared" si="21"/>
        <v>585.05782122026767</v>
      </c>
      <c r="M88" s="286">
        <f t="shared" si="22"/>
        <v>564.20000000000005</v>
      </c>
      <c r="N88" s="287">
        <f t="shared" si="23"/>
        <v>575.7874295740429</v>
      </c>
      <c r="O88" s="287">
        <f t="shared" si="24"/>
        <v>287.6965725193042</v>
      </c>
      <c r="P88" s="287">
        <f t="shared" si="25"/>
        <v>11.029799999966059</v>
      </c>
    </row>
    <row r="89" spans="1:16" x14ac:dyDescent="0.3">
      <c r="A89" s="276">
        <f t="shared" si="36"/>
        <v>78</v>
      </c>
      <c r="B89" s="285">
        <f t="shared" si="26"/>
        <v>792.21649524378881</v>
      </c>
      <c r="C89" s="286">
        <f t="shared" si="35"/>
        <v>660.11399999999992</v>
      </c>
      <c r="D89" s="287">
        <f t="shared" si="27"/>
        <v>681.64178365835949</v>
      </c>
      <c r="E89" s="287">
        <f t="shared" si="28"/>
        <v>373.90458073607567</v>
      </c>
      <c r="F89" s="288">
        <f t="shared" si="29"/>
        <v>16.944861144000001</v>
      </c>
      <c r="G89" s="285">
        <f t="shared" si="30"/>
        <v>11.981958729684269</v>
      </c>
      <c r="H89" s="286">
        <f t="shared" si="31"/>
        <v>16.925999999999998</v>
      </c>
      <c r="I89" s="287">
        <f t="shared" si="32"/>
        <v>16.259595236215386</v>
      </c>
      <c r="J89" s="287">
        <f t="shared" si="33"/>
        <v>6.1638605761169334</v>
      </c>
      <c r="K89" s="288">
        <f t="shared" si="34"/>
        <v>0.22059599999999999</v>
      </c>
      <c r="L89" s="285">
        <f t="shared" si="21"/>
        <v>586.25253187131443</v>
      </c>
      <c r="M89" s="286">
        <f t="shared" si="22"/>
        <v>575.04999999999995</v>
      </c>
      <c r="N89" s="287">
        <f t="shared" si="23"/>
        <v>585.37948809367458</v>
      </c>
      <c r="O89" s="287">
        <f t="shared" si="24"/>
        <v>289.01779711284246</v>
      </c>
      <c r="P89" s="287">
        <f t="shared" si="25"/>
        <v>11.029799999985395</v>
      </c>
    </row>
    <row r="90" spans="1:16" x14ac:dyDescent="0.3">
      <c r="A90" s="276">
        <f t="shared" si="36"/>
        <v>79</v>
      </c>
      <c r="B90" s="285">
        <f t="shared" si="26"/>
        <v>804.19918523984165</v>
      </c>
      <c r="C90" s="286">
        <f t="shared" si="35"/>
        <v>677.14850000000001</v>
      </c>
      <c r="D90" s="287">
        <f t="shared" si="27"/>
        <v>697.98369988261504</v>
      </c>
      <c r="E90" s="287">
        <f t="shared" si="28"/>
        <v>380.07089608177085</v>
      </c>
      <c r="F90" s="288">
        <f t="shared" si="29"/>
        <v>17.165457143999998</v>
      </c>
      <c r="G90" s="285">
        <f t="shared" si="30"/>
        <v>11.983401230013195</v>
      </c>
      <c r="H90" s="286">
        <f t="shared" si="31"/>
        <v>17.143000000000001</v>
      </c>
      <c r="I90" s="287">
        <f t="shared" si="32"/>
        <v>16.42407865886284</v>
      </c>
      <c r="J90" s="287">
        <f t="shared" si="33"/>
        <v>6.1687263056849941</v>
      </c>
      <c r="K90" s="288">
        <f t="shared" si="34"/>
        <v>0.22059599999999999</v>
      </c>
      <c r="L90" s="285">
        <f t="shared" si="21"/>
        <v>587.35171873290824</v>
      </c>
      <c r="M90" s="286">
        <f t="shared" si="22"/>
        <v>585.9</v>
      </c>
      <c r="N90" s="287">
        <f t="shared" si="23"/>
        <v>594.91622924388241</v>
      </c>
      <c r="O90" s="287">
        <f t="shared" si="24"/>
        <v>290.26953660475539</v>
      </c>
      <c r="P90" s="287">
        <f t="shared" si="25"/>
        <v>11.029799999993713</v>
      </c>
    </row>
    <row r="91" spans="1:16" x14ac:dyDescent="0.3">
      <c r="A91" s="276">
        <f t="shared" si="36"/>
        <v>80</v>
      </c>
      <c r="B91" s="285">
        <f t="shared" si="26"/>
        <v>816.18325926739294</v>
      </c>
      <c r="C91" s="286">
        <f t="shared" si="35"/>
        <v>694.4</v>
      </c>
      <c r="D91" s="287">
        <f t="shared" si="27"/>
        <v>714.48962478465512</v>
      </c>
      <c r="E91" s="287">
        <f t="shared" si="28"/>
        <v>386.24194805717133</v>
      </c>
      <c r="F91" s="288">
        <f t="shared" si="29"/>
        <v>17.386053144000002</v>
      </c>
      <c r="G91" s="285">
        <f t="shared" si="30"/>
        <v>11.984728394383922</v>
      </c>
      <c r="H91" s="286">
        <f t="shared" si="31"/>
        <v>17.36</v>
      </c>
      <c r="I91" s="287">
        <f t="shared" si="32"/>
        <v>16.587613506161624</v>
      </c>
      <c r="J91" s="287">
        <f t="shared" si="33"/>
        <v>6.1733361395369366</v>
      </c>
      <c r="K91" s="288">
        <f t="shared" si="34"/>
        <v>0.22059599999999999</v>
      </c>
      <c r="L91" s="285">
        <f t="shared" si="21"/>
        <v>588.36301946555147</v>
      </c>
      <c r="M91" s="286">
        <f t="shared" si="22"/>
        <v>596.75</v>
      </c>
      <c r="N91" s="287">
        <f t="shared" si="23"/>
        <v>604.39797203975104</v>
      </c>
      <c r="O91" s="287">
        <f t="shared" si="24"/>
        <v>291.45544531647448</v>
      </c>
      <c r="P91" s="287">
        <f t="shared" si="25"/>
        <v>11.029799999997294</v>
      </c>
    </row>
    <row r="92" spans="1:16" x14ac:dyDescent="0.3">
      <c r="A92" s="276">
        <f t="shared" si="36"/>
        <v>81</v>
      </c>
      <c r="B92" s="285">
        <f t="shared" si="26"/>
        <v>828.1686066653939</v>
      </c>
      <c r="C92" s="286">
        <f t="shared" si="35"/>
        <v>711.86849999999993</v>
      </c>
      <c r="D92" s="287">
        <f t="shared" si="27"/>
        <v>731.1586125269821</v>
      </c>
      <c r="E92" s="287">
        <f t="shared" si="28"/>
        <v>392.41748755610865</v>
      </c>
      <c r="F92" s="288">
        <f t="shared" si="29"/>
        <v>17.606649144000002</v>
      </c>
      <c r="G92" s="285">
        <f t="shared" si="30"/>
        <v>11.985949444550506</v>
      </c>
      <c r="H92" s="286">
        <f t="shared" si="31"/>
        <v>17.576999999999998</v>
      </c>
      <c r="I92" s="287">
        <f t="shared" si="32"/>
        <v>16.75020524854261</v>
      </c>
      <c r="J92" s="287">
        <f t="shared" si="33"/>
        <v>6.1777035355965122</v>
      </c>
      <c r="K92" s="288">
        <f t="shared" si="34"/>
        <v>0.22059599999999999</v>
      </c>
      <c r="L92" s="285">
        <f t="shared" si="21"/>
        <v>589.29346105613047</v>
      </c>
      <c r="M92" s="286">
        <f t="shared" si="22"/>
        <v>607.6</v>
      </c>
      <c r="N92" s="287">
        <f t="shared" si="23"/>
        <v>613.8250336566058</v>
      </c>
      <c r="O92" s="287">
        <f t="shared" si="24"/>
        <v>292.57898538341118</v>
      </c>
      <c r="P92" s="287">
        <f t="shared" si="25"/>
        <v>11.029799999998835</v>
      </c>
    </row>
    <row r="93" spans="1:16" x14ac:dyDescent="0.3">
      <c r="A93" s="276">
        <f t="shared" si="36"/>
        <v>82</v>
      </c>
      <c r="B93" s="285">
        <f t="shared" si="26"/>
        <v>840.15512562076492</v>
      </c>
      <c r="C93" s="286">
        <f t="shared" si="35"/>
        <v>729.55399999999997</v>
      </c>
      <c r="D93" s="287">
        <f t="shared" si="27"/>
        <v>747.98972272674428</v>
      </c>
      <c r="E93" s="287">
        <f t="shared" si="28"/>
        <v>398.59727857326561</v>
      </c>
      <c r="F93" s="288">
        <f t="shared" si="29"/>
        <v>17.827245143999999</v>
      </c>
      <c r="G93" s="285">
        <f t="shared" si="30"/>
        <v>11.987072864936252</v>
      </c>
      <c r="H93" s="286">
        <f t="shared" si="31"/>
        <v>17.794</v>
      </c>
      <c r="I93" s="287">
        <f t="shared" si="32"/>
        <v>16.911859324888699</v>
      </c>
      <c r="J93" s="287">
        <f t="shared" si="33"/>
        <v>6.1818412440159074</v>
      </c>
      <c r="K93" s="288">
        <f t="shared" si="34"/>
        <v>0.22059599999999999</v>
      </c>
      <c r="L93" s="285">
        <f t="shared" si="21"/>
        <v>590.14950864468153</v>
      </c>
      <c r="M93" s="286">
        <f t="shared" si="22"/>
        <v>618.45000000000005</v>
      </c>
      <c r="N93" s="287">
        <f t="shared" si="23"/>
        <v>623.19772944062322</v>
      </c>
      <c r="O93" s="287">
        <f t="shared" si="24"/>
        <v>293.64343686229626</v>
      </c>
      <c r="P93" s="287">
        <f t="shared" si="25"/>
        <v>11.029799999999499</v>
      </c>
    </row>
    <row r="94" spans="1:16" x14ac:dyDescent="0.3">
      <c r="A94" s="276">
        <f t="shared" si="36"/>
        <v>83</v>
      </c>
      <c r="B94" s="285">
        <f t="shared" si="26"/>
        <v>852.14272246095072</v>
      </c>
      <c r="C94" s="286">
        <f t="shared" si="35"/>
        <v>747.45650000000001</v>
      </c>
      <c r="D94" s="287">
        <f t="shared" si="27"/>
        <v>764.98202042426783</v>
      </c>
      <c r="E94" s="287">
        <f t="shared" si="28"/>
        <v>404.78109751518446</v>
      </c>
      <c r="F94" s="288">
        <f t="shared" si="29"/>
        <v>18.047841144</v>
      </c>
      <c r="G94" s="285">
        <f t="shared" si="30"/>
        <v>11.98810646158744</v>
      </c>
      <c r="H94" s="286">
        <f t="shared" si="31"/>
        <v>18.010999999999999</v>
      </c>
      <c r="I94" s="287">
        <f t="shared" si="32"/>
        <v>17.072581142716786</v>
      </c>
      <c r="J94" s="287">
        <f t="shared" si="33"/>
        <v>6.1857613443984683</v>
      </c>
      <c r="K94" s="288">
        <f t="shared" si="34"/>
        <v>0.22059599999999999</v>
      </c>
      <c r="L94" s="285">
        <f t="shared" si="21"/>
        <v>590.93711044718486</v>
      </c>
      <c r="M94" s="286">
        <f t="shared" si="22"/>
        <v>629.29999999999995</v>
      </c>
      <c r="N94" s="287">
        <f t="shared" si="23"/>
        <v>632.51637291938016</v>
      </c>
      <c r="O94" s="287">
        <f t="shared" si="24"/>
        <v>294.65190730695963</v>
      </c>
      <c r="P94" s="287">
        <f t="shared" si="25"/>
        <v>11.029799999999783</v>
      </c>
    </row>
    <row r="95" spans="1:16" x14ac:dyDescent="0.3">
      <c r="A95" s="276">
        <f t="shared" si="36"/>
        <v>84</v>
      </c>
      <c r="B95" s="285">
        <f t="shared" si="26"/>
        <v>864.13131100303985</v>
      </c>
      <c r="C95" s="286">
        <f t="shared" si="35"/>
        <v>765.57600000000002</v>
      </c>
      <c r="D95" s="287">
        <f t="shared" si="27"/>
        <v>782.13457605179337</v>
      </c>
      <c r="E95" s="287">
        <f t="shared" si="28"/>
        <v>410.96873254750864</v>
      </c>
      <c r="F95" s="288">
        <f t="shared" si="29"/>
        <v>18.268437144</v>
      </c>
      <c r="G95" s="285">
        <f t="shared" si="30"/>
        <v>11.989057416413345</v>
      </c>
      <c r="H95" s="286">
        <f t="shared" si="31"/>
        <v>18.228000000000002</v>
      </c>
      <c r="I95" s="287">
        <f t="shared" si="32"/>
        <v>17.232376078358627</v>
      </c>
      <c r="J95" s="287">
        <f t="shared" si="33"/>
        <v>6.1894752810638263</v>
      </c>
      <c r="K95" s="288">
        <f t="shared" si="34"/>
        <v>0.22059599999999999</v>
      </c>
      <c r="L95" s="285">
        <f t="shared" si="21"/>
        <v>591.66173908652991</v>
      </c>
      <c r="M95" s="286">
        <f t="shared" si="22"/>
        <v>640.15</v>
      </c>
      <c r="N95" s="287">
        <f t="shared" si="23"/>
        <v>641.78127581234037</v>
      </c>
      <c r="O95" s="287">
        <f t="shared" si="24"/>
        <v>295.60734084050563</v>
      </c>
      <c r="P95" s="287">
        <f t="shared" si="25"/>
        <v>11.029799999999907</v>
      </c>
    </row>
    <row r="96" spans="1:16" x14ac:dyDescent="0.3">
      <c r="A96" s="276">
        <f t="shared" si="36"/>
        <v>85</v>
      </c>
      <c r="B96" s="285">
        <f t="shared" si="26"/>
        <v>876.12081195492624</v>
      </c>
      <c r="C96" s="286">
        <f t="shared" si="35"/>
        <v>783.91250000000002</v>
      </c>
      <c r="D96" s="287">
        <f t="shared" si="27"/>
        <v>799.44646540237409</v>
      </c>
      <c r="E96" s="287">
        <f t="shared" si="28"/>
        <v>417.1599829765554</v>
      </c>
      <c r="F96" s="288">
        <f t="shared" si="29"/>
        <v>18.489033144</v>
      </c>
      <c r="G96" s="285">
        <f t="shared" si="30"/>
        <v>11.989932337089485</v>
      </c>
      <c r="H96" s="286">
        <f t="shared" si="31"/>
        <v>18.445</v>
      </c>
      <c r="I96" s="287">
        <f t="shared" si="32"/>
        <v>17.391249477140693</v>
      </c>
      <c r="J96" s="287">
        <f t="shared" si="33"/>
        <v>6.1929938964583844</v>
      </c>
      <c r="K96" s="288">
        <f t="shared" si="34"/>
        <v>0.22059599999999999</v>
      </c>
      <c r="L96" s="285">
        <f t="shared" si="21"/>
        <v>592.32842961883989</v>
      </c>
      <c r="M96" s="286">
        <f t="shared" si="22"/>
        <v>651</v>
      </c>
      <c r="N96" s="287">
        <f t="shared" si="23"/>
        <v>650.99274804128186</v>
      </c>
      <c r="O96" s="287">
        <f t="shared" si="24"/>
        <v>296.51252675037023</v>
      </c>
      <c r="P96" s="287">
        <f t="shared" si="25"/>
        <v>11.029799999999959</v>
      </c>
    </row>
    <row r="97" spans="1:16" x14ac:dyDescent="0.3">
      <c r="A97" s="276">
        <f t="shared" si="36"/>
        <v>86</v>
      </c>
      <c r="B97" s="285">
        <f t="shared" si="26"/>
        <v>888.11115236435035</v>
      </c>
      <c r="C97" s="286">
        <f t="shared" si="35"/>
        <v>802.46600000000001</v>
      </c>
      <c r="D97" s="287">
        <f t="shared" si="27"/>
        <v>816.91676959896233</v>
      </c>
      <c r="E97" s="287">
        <f t="shared" si="28"/>
        <v>423.35465866341121</v>
      </c>
      <c r="F97" s="288">
        <f t="shared" si="29"/>
        <v>18.709629144000001</v>
      </c>
      <c r="G97" s="285">
        <f t="shared" si="30"/>
        <v>11.990737302970809</v>
      </c>
      <c r="H97" s="286">
        <f t="shared" si="31"/>
        <v>18.661999999999999</v>
      </c>
      <c r="I97" s="287">
        <f t="shared" si="32"/>
        <v>17.549206653562969</v>
      </c>
      <c r="J97" s="287">
        <f t="shared" si="33"/>
        <v>6.1963274628086937</v>
      </c>
      <c r="K97" s="288">
        <f t="shared" si="34"/>
        <v>0.22059599999999999</v>
      </c>
      <c r="L97" s="285">
        <f t="shared" si="21"/>
        <v>592.94181451937789</v>
      </c>
      <c r="M97" s="286">
        <f t="shared" si="22"/>
        <v>661.85</v>
      </c>
      <c r="N97" s="287">
        <f t="shared" si="23"/>
        <v>660.15109774066582</v>
      </c>
      <c r="O97" s="287">
        <f t="shared" si="24"/>
        <v>297.37010763135157</v>
      </c>
      <c r="P97" s="287">
        <f t="shared" si="25"/>
        <v>11.029799999999982</v>
      </c>
    </row>
    <row r="98" spans="1:16" x14ac:dyDescent="0.3">
      <c r="A98" s="276">
        <f t="shared" si="36"/>
        <v>87</v>
      </c>
      <c r="B98" s="285">
        <f t="shared" si="26"/>
        <v>900.10226511199335</v>
      </c>
      <c r="C98" s="286">
        <f t="shared" si="35"/>
        <v>821.23650000000009</v>
      </c>
      <c r="D98" s="287">
        <f t="shared" si="27"/>
        <v>834.54457506366907</v>
      </c>
      <c r="E98" s="287">
        <f t="shared" si="28"/>
        <v>429.55257946884137</v>
      </c>
      <c r="F98" s="288">
        <f t="shared" si="29"/>
        <v>18.930225143999998</v>
      </c>
      <c r="G98" s="285">
        <f t="shared" si="30"/>
        <v>11.99147790733389</v>
      </c>
      <c r="H98" s="286">
        <f t="shared" si="31"/>
        <v>18.879000000000001</v>
      </c>
      <c r="I98" s="287">
        <f t="shared" si="32"/>
        <v>17.706252891476755</v>
      </c>
      <c r="J98" s="287">
        <f t="shared" si="33"/>
        <v>6.1994857121101399</v>
      </c>
      <c r="K98" s="288">
        <f t="shared" si="34"/>
        <v>0.22059599999999999</v>
      </c>
      <c r="L98" s="285">
        <f t="shared" si="21"/>
        <v>593.50615587113589</v>
      </c>
      <c r="M98" s="286">
        <f t="shared" si="22"/>
        <v>672.7</v>
      </c>
      <c r="N98" s="287">
        <f t="shared" si="23"/>
        <v>669.25663126794336</v>
      </c>
      <c r="O98" s="287">
        <f t="shared" si="24"/>
        <v>298.18258710038651</v>
      </c>
      <c r="P98" s="287">
        <f t="shared" si="25"/>
        <v>11.029799999999991</v>
      </c>
    </row>
    <row r="99" spans="1:16" x14ac:dyDescent="0.3">
      <c r="A99" s="276">
        <f t="shared" si="36"/>
        <v>88</v>
      </c>
      <c r="B99" s="285">
        <f t="shared" si="26"/>
        <v>912.09408844510085</v>
      </c>
      <c r="C99" s="286">
        <f t="shared" si="35"/>
        <v>840.22400000000005</v>
      </c>
      <c r="D99" s="287">
        <f t="shared" si="27"/>
        <v>852.32897348720928</v>
      </c>
      <c r="E99" s="287">
        <f t="shared" si="28"/>
        <v>435.75357472739302</v>
      </c>
      <c r="F99" s="288">
        <f t="shared" si="29"/>
        <v>19.150821144000002</v>
      </c>
      <c r="G99" s="285">
        <f t="shared" si="30"/>
        <v>11.992159296241592</v>
      </c>
      <c r="H99" s="286">
        <f t="shared" si="31"/>
        <v>19.096</v>
      </c>
      <c r="I99" s="287">
        <f t="shared" si="32"/>
        <v>17.862393444261372</v>
      </c>
      <c r="J99" s="287">
        <f t="shared" si="33"/>
        <v>6.2024778645384702</v>
      </c>
      <c r="K99" s="288">
        <f t="shared" si="34"/>
        <v>0.22059599999999999</v>
      </c>
      <c r="L99" s="285">
        <f t="shared" si="21"/>
        <v>594.02537497976505</v>
      </c>
      <c r="M99" s="286">
        <f t="shared" si="22"/>
        <v>683.55</v>
      </c>
      <c r="N99" s="287">
        <f t="shared" si="23"/>
        <v>678.3096532138012</v>
      </c>
      <c r="O99" s="287">
        <f t="shared" si="24"/>
        <v>298.95233710559637</v>
      </c>
      <c r="P99" s="287">
        <f t="shared" si="25"/>
        <v>11.029799999999996</v>
      </c>
    </row>
    <row r="100" spans="1:16" x14ac:dyDescent="0.3">
      <c r="A100" s="276">
        <f t="shared" si="36"/>
        <v>89</v>
      </c>
      <c r="B100" s="285">
        <f t="shared" si="26"/>
        <v>924.08656554839627</v>
      </c>
      <c r="C100" s="286">
        <f t="shared" si="35"/>
        <v>859.42849999999999</v>
      </c>
      <c r="D100" s="287">
        <f t="shared" si="27"/>
        <v>870.26906179851085</v>
      </c>
      <c r="E100" s="287">
        <f t="shared" si="28"/>
        <v>441.95748274915445</v>
      </c>
      <c r="F100" s="288">
        <f t="shared" si="29"/>
        <v>19.371417144000002</v>
      </c>
      <c r="G100" s="285">
        <f t="shared" si="30"/>
        <v>11.992786204300312</v>
      </c>
      <c r="H100" s="286">
        <f t="shared" si="31"/>
        <v>19.312999999999999</v>
      </c>
      <c r="I100" s="287">
        <f t="shared" si="32"/>
        <v>18.017633534999934</v>
      </c>
      <c r="J100" s="287">
        <f t="shared" si="33"/>
        <v>6.2053126553671323</v>
      </c>
      <c r="K100" s="288">
        <f t="shared" si="34"/>
        <v>0.22059599999999999</v>
      </c>
      <c r="L100" s="285">
        <f t="shared" si="21"/>
        <v>594.50307962062823</v>
      </c>
      <c r="M100" s="286">
        <f t="shared" si="22"/>
        <v>694.4</v>
      </c>
      <c r="N100" s="287">
        <f t="shared" si="23"/>
        <v>687.3104664123548</v>
      </c>
      <c r="O100" s="287">
        <f t="shared" si="24"/>
        <v>299.68160485093938</v>
      </c>
      <c r="P100" s="287">
        <f t="shared" si="25"/>
        <v>11.029799999999998</v>
      </c>
    </row>
    <row r="101" spans="1:16" x14ac:dyDescent="0.3">
      <c r="A101" s="276">
        <f t="shared" si="36"/>
        <v>90</v>
      </c>
      <c r="B101" s="285">
        <f t="shared" si="26"/>
        <v>936.07964414930132</v>
      </c>
      <c r="C101" s="286">
        <f t="shared" si="35"/>
        <v>878.85</v>
      </c>
      <c r="D101" s="287">
        <f t="shared" si="27"/>
        <v>888.36394213451308</v>
      </c>
      <c r="E101" s="287">
        <f t="shared" si="28"/>
        <v>448.16415034771927</v>
      </c>
      <c r="F101" s="288">
        <f t="shared" si="29"/>
        <v>19.592013143999999</v>
      </c>
      <c r="G101" s="285">
        <f t="shared" si="30"/>
        <v>11.993362987558227</v>
      </c>
      <c r="H101" s="286">
        <f t="shared" si="31"/>
        <v>19.53</v>
      </c>
      <c r="I101" s="287">
        <f t="shared" si="32"/>
        <v>18.171978356654058</v>
      </c>
      <c r="J101" s="287">
        <f t="shared" si="33"/>
        <v>6.2079983604689772</v>
      </c>
      <c r="K101" s="288">
        <f t="shared" si="34"/>
        <v>0.22059599999999999</v>
      </c>
      <c r="L101" s="285">
        <f t="shared" si="21"/>
        <v>594.94258910729695</v>
      </c>
      <c r="M101" s="286">
        <f t="shared" si="22"/>
        <v>705.25</v>
      </c>
      <c r="N101" s="287">
        <f t="shared" si="23"/>
        <v>696.25937195127506</v>
      </c>
      <c r="O101" s="287">
        <f t="shared" si="24"/>
        <v>300.37251935668553</v>
      </c>
      <c r="P101" s="287">
        <f t="shared" si="25"/>
        <v>11.0298</v>
      </c>
    </row>
    <row r="102" spans="1:16" x14ac:dyDescent="0.3">
      <c r="A102" s="276">
        <f t="shared" si="36"/>
        <v>91</v>
      </c>
      <c r="B102" s="285">
        <f t="shared" si="26"/>
        <v>948.07327615472252</v>
      </c>
      <c r="C102" s="286">
        <f t="shared" si="35"/>
        <v>898.48850000000004</v>
      </c>
      <c r="D102" s="287">
        <f t="shared" si="27"/>
        <v>906.61272181012646</v>
      </c>
      <c r="E102" s="287">
        <f t="shared" si="28"/>
        <v>454.37343239297445</v>
      </c>
      <c r="F102" s="288">
        <f t="shared" si="29"/>
        <v>19.812609144</v>
      </c>
      <c r="G102" s="285">
        <f t="shared" si="30"/>
        <v>11.993893653773121</v>
      </c>
      <c r="H102" s="286">
        <f t="shared" si="31"/>
        <v>19.747</v>
      </c>
      <c r="I102" s="287">
        <f t="shared" si="32"/>
        <v>18.325433072237555</v>
      </c>
      <c r="J102" s="287">
        <f t="shared" si="33"/>
        <v>6.2105428204768014</v>
      </c>
      <c r="K102" s="288">
        <f t="shared" si="34"/>
        <v>0.22059599999999999</v>
      </c>
      <c r="L102" s="285">
        <f t="shared" si="21"/>
        <v>595.346957355683</v>
      </c>
      <c r="M102" s="286">
        <f t="shared" si="22"/>
        <v>716.1</v>
      </c>
      <c r="N102" s="287">
        <f t="shared" si="23"/>
        <v>705.15666918186162</v>
      </c>
      <c r="O102" s="287">
        <f t="shared" si="24"/>
        <v>301.02709767486687</v>
      </c>
      <c r="P102" s="287">
        <f t="shared" si="25"/>
        <v>11.0298</v>
      </c>
    </row>
    <row r="103" spans="1:16" x14ac:dyDescent="0.3">
      <c r="A103" s="276">
        <f t="shared" si="36"/>
        <v>92</v>
      </c>
      <c r="B103" s="285">
        <f t="shared" si="26"/>
        <v>960.06741731687794</v>
      </c>
      <c r="C103" s="286">
        <f t="shared" si="35"/>
        <v>918.34399999999994</v>
      </c>
      <c r="D103" s="287">
        <f t="shared" si="27"/>
        <v>925.01451328837391</v>
      </c>
      <c r="E103" s="287">
        <f t="shared" si="28"/>
        <v>460.58519138740832</v>
      </c>
      <c r="F103" s="288">
        <f t="shared" si="29"/>
        <v>20.033205144</v>
      </c>
      <c r="G103" s="285">
        <f t="shared" si="30"/>
        <v>11.994381890260167</v>
      </c>
      <c r="H103" s="286">
        <f t="shared" si="31"/>
        <v>19.963999999999999</v>
      </c>
      <c r="I103" s="287">
        <f t="shared" si="32"/>
        <v>18.478002814989161</v>
      </c>
      <c r="J103" s="287">
        <f t="shared" si="33"/>
        <v>6.2129534636732453</v>
      </c>
      <c r="K103" s="288">
        <f t="shared" si="34"/>
        <v>0.22059599999999999</v>
      </c>
      <c r="L103" s="285">
        <f t="shared" si="21"/>
        <v>595.71899410406411</v>
      </c>
      <c r="M103" s="286">
        <f t="shared" si="22"/>
        <v>726.95</v>
      </c>
      <c r="N103" s="287">
        <f t="shared" si="23"/>
        <v>714.00265572905585</v>
      </c>
      <c r="O103" s="287">
        <f t="shared" si="24"/>
        <v>301.64725077784772</v>
      </c>
      <c r="P103" s="287">
        <f t="shared" si="25"/>
        <v>11.0298</v>
      </c>
    </row>
    <row r="104" spans="1:16" x14ac:dyDescent="0.3">
      <c r="A104" s="276">
        <f t="shared" si="36"/>
        <v>93</v>
      </c>
      <c r="B104" s="285">
        <f t="shared" si="26"/>
        <v>972.06202692584293</v>
      </c>
      <c r="C104" s="286">
        <f t="shared" si="35"/>
        <v>938.41650000000004</v>
      </c>
      <c r="D104" s="287">
        <f t="shared" si="27"/>
        <v>943.56843415069955</v>
      </c>
      <c r="E104" s="287">
        <f t="shared" si="28"/>
        <v>466.79929706470102</v>
      </c>
      <c r="F104" s="288">
        <f t="shared" si="29"/>
        <v>20.253801144000001</v>
      </c>
      <c r="G104" s="285">
        <f t="shared" si="30"/>
        <v>11.994831089513092</v>
      </c>
      <c r="H104" s="286">
        <f t="shared" si="31"/>
        <v>20.181000000000001</v>
      </c>
      <c r="I104" s="287">
        <f t="shared" si="32"/>
        <v>18.629692688544246</v>
      </c>
      <c r="J104" s="287">
        <f t="shared" si="33"/>
        <v>6.2152373276768795</v>
      </c>
      <c r="K104" s="288">
        <f t="shared" si="34"/>
        <v>0.22059599999999999</v>
      </c>
      <c r="L104" s="285">
        <f t="shared" si="21"/>
        <v>596.061284436449</v>
      </c>
      <c r="M104" s="286">
        <f t="shared" si="22"/>
        <v>737.8</v>
      </c>
      <c r="N104" s="287">
        <f t="shared" si="23"/>
        <v>722.79762750139821</v>
      </c>
      <c r="O104" s="287">
        <f t="shared" si="24"/>
        <v>302.23478913720777</v>
      </c>
      <c r="P104" s="287">
        <f t="shared" si="25"/>
        <v>11.0298</v>
      </c>
    </row>
    <row r="105" spans="1:16" x14ac:dyDescent="0.3">
      <c r="A105" s="276">
        <f t="shared" si="36"/>
        <v>94</v>
      </c>
      <c r="B105" s="285">
        <f t="shared" si="26"/>
        <v>984.05706752667834</v>
      </c>
      <c r="C105" s="286">
        <f t="shared" si="35"/>
        <v>958.70600000000002</v>
      </c>
      <c r="D105" s="287">
        <f t="shared" si="27"/>
        <v>962.27360706745617</v>
      </c>
      <c r="E105" s="287">
        <f t="shared" si="28"/>
        <v>473.01562600942594</v>
      </c>
      <c r="F105" s="288">
        <f t="shared" si="29"/>
        <v>20.474397144000001</v>
      </c>
      <c r="G105" s="285">
        <f t="shared" si="30"/>
        <v>11.995244372776801</v>
      </c>
      <c r="H105" s="286">
        <f t="shared" si="31"/>
        <v>20.398</v>
      </c>
      <c r="I105" s="287">
        <f t="shared" si="32"/>
        <v>18.780507767105515</v>
      </c>
      <c r="J105" s="287">
        <f t="shared" si="33"/>
        <v>6.2174010799877966</v>
      </c>
      <c r="K105" s="288">
        <f t="shared" si="34"/>
        <v>0.22059599999999999</v>
      </c>
      <c r="L105" s="285">
        <f t="shared" si="21"/>
        <v>596.37620674494133</v>
      </c>
      <c r="M105" s="286">
        <f t="shared" si="22"/>
        <v>748.65</v>
      </c>
      <c r="N105" s="287">
        <f t="shared" si="23"/>
        <v>731.54187870092369</v>
      </c>
      <c r="O105" s="287">
        <f t="shared" si="24"/>
        <v>302.79142800922205</v>
      </c>
      <c r="P105" s="287">
        <f t="shared" si="25"/>
        <v>11.0298</v>
      </c>
    </row>
    <row r="106" spans="1:16" x14ac:dyDescent="0.3">
      <c r="A106" s="276">
        <f t="shared" si="36"/>
        <v>95</v>
      </c>
      <c r="B106" s="285">
        <f t="shared" si="26"/>
        <v>996.0525046591772</v>
      </c>
      <c r="C106" s="286">
        <f t="shared" si="35"/>
        <v>979.21249999999998</v>
      </c>
      <c r="D106" s="287">
        <f t="shared" si="27"/>
        <v>981.12915976854936</v>
      </c>
      <c r="E106" s="287">
        <f t="shared" si="28"/>
        <v>479.23406129675118</v>
      </c>
      <c r="F106" s="288">
        <f t="shared" si="29"/>
        <v>20.694993143999998</v>
      </c>
      <c r="G106" s="285">
        <f t="shared" si="30"/>
        <v>11.995624611735238</v>
      </c>
      <c r="H106" s="286">
        <f t="shared" si="31"/>
        <v>20.614999999999998</v>
      </c>
      <c r="I106" s="287">
        <f t="shared" si="32"/>
        <v>18.930453095612783</v>
      </c>
      <c r="J106" s="287">
        <f t="shared" si="33"/>
        <v>6.2194510374526653</v>
      </c>
      <c r="K106" s="288">
        <f t="shared" si="34"/>
        <v>0.22059599999999999</v>
      </c>
      <c r="L106" s="285">
        <f t="shared" si="21"/>
        <v>596.66594925591187</v>
      </c>
      <c r="M106" s="286">
        <f t="shared" si="22"/>
        <v>759.5</v>
      </c>
      <c r="N106" s="287">
        <f t="shared" si="23"/>
        <v>740.2357018330074</v>
      </c>
      <c r="O106" s="287">
        <f t="shared" si="24"/>
        <v>303.31879244237138</v>
      </c>
      <c r="P106" s="287">
        <f t="shared" si="25"/>
        <v>11.0298</v>
      </c>
    </row>
    <row r="107" spans="1:16" x14ac:dyDescent="0.3">
      <c r="A107" s="276">
        <f t="shared" si="36"/>
        <v>96</v>
      </c>
      <c r="B107" s="285">
        <f t="shared" si="26"/>
        <v>1008.048306618418</v>
      </c>
      <c r="C107" s="286">
        <f t="shared" si="35"/>
        <v>999.93600000000004</v>
      </c>
      <c r="D107" s="287">
        <f t="shared" si="27"/>
        <v>1000.1342250142673</v>
      </c>
      <c r="E107" s="287">
        <f t="shared" si="28"/>
        <v>485.45449215109005</v>
      </c>
      <c r="F107" s="288">
        <f t="shared" si="29"/>
        <v>20.915589143999998</v>
      </c>
      <c r="G107" s="285">
        <f t="shared" si="30"/>
        <v>11.995974448465169</v>
      </c>
      <c r="H107" s="286">
        <f t="shared" si="31"/>
        <v>20.832000000000001</v>
      </c>
      <c r="I107" s="287">
        <f t="shared" si="32"/>
        <v>19.079533689911699</v>
      </c>
      <c r="J107" s="287">
        <f t="shared" si="33"/>
        <v>6.2213931847061064</v>
      </c>
      <c r="K107" s="288">
        <f t="shared" si="34"/>
        <v>0.22059599999999999</v>
      </c>
      <c r="L107" s="285">
        <f t="shared" si="21"/>
        <v>596.93252523481101</v>
      </c>
      <c r="M107" s="286">
        <f t="shared" si="22"/>
        <v>770.35</v>
      </c>
      <c r="N107" s="287">
        <f t="shared" si="23"/>
        <v>748.87938771614438</v>
      </c>
      <c r="O107" s="287">
        <f t="shared" si="24"/>
        <v>303.81842202149949</v>
      </c>
      <c r="P107" s="287">
        <f t="shared" si="25"/>
        <v>11.0298</v>
      </c>
    </row>
    <row r="108" spans="1:16" x14ac:dyDescent="0.3">
      <c r="A108" s="276">
        <f t="shared" si="36"/>
        <v>97</v>
      </c>
      <c r="B108" s="285">
        <f t="shared" si="26"/>
        <v>1020.0444442344651</v>
      </c>
      <c r="C108" s="286">
        <f t="shared" si="35"/>
        <v>1020.8765</v>
      </c>
      <c r="D108" s="287">
        <f t="shared" si="27"/>
        <v>1019.2879405662623</v>
      </c>
      <c r="E108" s="287">
        <f t="shared" si="28"/>
        <v>491.67681362270309</v>
      </c>
      <c r="F108" s="288">
        <f t="shared" si="29"/>
        <v>21.136185144000002</v>
      </c>
      <c r="G108" s="285">
        <f t="shared" si="30"/>
        <v>11.996296313794577</v>
      </c>
      <c r="H108" s="286">
        <f t="shared" si="31"/>
        <v>21.048999999999999</v>
      </c>
      <c r="I108" s="287">
        <f t="shared" si="32"/>
        <v>19.227754536921559</v>
      </c>
      <c r="J108" s="287">
        <f t="shared" si="33"/>
        <v>6.223233191642195</v>
      </c>
      <c r="K108" s="288">
        <f t="shared" si="34"/>
        <v>0.22059599999999999</v>
      </c>
      <c r="L108" s="285">
        <f t="shared" si="21"/>
        <v>597.17778697527137</v>
      </c>
      <c r="M108" s="286">
        <f t="shared" si="22"/>
        <v>781.2</v>
      </c>
      <c r="N108" s="287">
        <f t="shared" si="23"/>
        <v>757.47322549168314</v>
      </c>
      <c r="O108" s="287">
        <f t="shared" si="24"/>
        <v>304.29177536246908</v>
      </c>
      <c r="P108" s="287">
        <f t="shared" si="25"/>
        <v>11.0298</v>
      </c>
    </row>
    <row r="109" spans="1:16" x14ac:dyDescent="0.3">
      <c r="A109" s="276">
        <f t="shared" si="36"/>
        <v>98</v>
      </c>
      <c r="B109" s="285">
        <f t="shared" si="26"/>
        <v>1032.0408906696821</v>
      </c>
      <c r="C109" s="286">
        <f t="shared" si="35"/>
        <v>1042.0339999999999</v>
      </c>
      <c r="D109" s="287">
        <f t="shared" si="27"/>
        <v>1038.589449158718</v>
      </c>
      <c r="E109" s="287">
        <f t="shared" si="28"/>
        <v>497.90092628130861</v>
      </c>
      <c r="F109" s="288">
        <f t="shared" si="29"/>
        <v>21.356781143999999</v>
      </c>
      <c r="G109" s="285">
        <f t="shared" si="30"/>
        <v>11.996592444193162</v>
      </c>
      <c r="H109" s="286">
        <f t="shared" si="31"/>
        <v>21.265999999999998</v>
      </c>
      <c r="I109" s="287">
        <f t="shared" si="32"/>
        <v>19.375120594802095</v>
      </c>
      <c r="J109" s="287">
        <f t="shared" si="33"/>
        <v>6.2249764299671257</v>
      </c>
      <c r="K109" s="288">
        <f t="shared" si="34"/>
        <v>0.22059599999999999</v>
      </c>
      <c r="L109" s="285">
        <f t="shared" si="21"/>
        <v>597.40343866970431</v>
      </c>
      <c r="M109" s="286">
        <f t="shared" si="22"/>
        <v>792.05</v>
      </c>
      <c r="N109" s="287">
        <f t="shared" si="23"/>
        <v>766.01750263349277</v>
      </c>
      <c r="O109" s="287">
        <f t="shared" si="24"/>
        <v>304.74023437043672</v>
      </c>
      <c r="P109" s="287">
        <f t="shared" si="25"/>
        <v>11.0298</v>
      </c>
    </row>
    <row r="110" spans="1:16" x14ac:dyDescent="0.3">
      <c r="A110" s="276">
        <f t="shared" si="36"/>
        <v>99</v>
      </c>
      <c r="B110" s="285">
        <f t="shared" si="26"/>
        <v>1044.0376212322515</v>
      </c>
      <c r="C110" s="286">
        <f t="shared" si="35"/>
        <v>1063.4085</v>
      </c>
      <c r="D110" s="287">
        <f t="shared" si="27"/>
        <v>1058.037898469662</v>
      </c>
      <c r="E110" s="287">
        <f t="shared" si="28"/>
        <v>504.12673592580654</v>
      </c>
      <c r="F110" s="288">
        <f t="shared" si="29"/>
        <v>21.577377144</v>
      </c>
      <c r="G110" s="285">
        <f t="shared" si="30"/>
        <v>11.996864897312381</v>
      </c>
      <c r="H110" s="286">
        <f t="shared" si="31"/>
        <v>21.483000000000001</v>
      </c>
      <c r="I110" s="287">
        <f t="shared" si="32"/>
        <v>19.521636793119367</v>
      </c>
      <c r="J110" s="287">
        <f t="shared" si="33"/>
        <v>6.2266279888813356</v>
      </c>
      <c r="K110" s="288">
        <f t="shared" si="34"/>
        <v>0.22059599999999999</v>
      </c>
      <c r="L110" s="285">
        <f t="shared" si="21"/>
        <v>597.61104825081895</v>
      </c>
      <c r="M110" s="286">
        <f t="shared" si="22"/>
        <v>802.9</v>
      </c>
      <c r="N110" s="287">
        <f t="shared" si="23"/>
        <v>774.51250495758234</v>
      </c>
      <c r="O110" s="287">
        <f t="shared" si="24"/>
        <v>305.1651082741792</v>
      </c>
      <c r="P110" s="287">
        <f t="shared" si="25"/>
        <v>11.0298</v>
      </c>
    </row>
    <row r="111" spans="1:16" x14ac:dyDescent="0.3">
      <c r="A111" s="276">
        <f t="shared" si="36"/>
        <v>100</v>
      </c>
      <c r="B111" s="285">
        <f t="shared" si="26"/>
        <v>1056.0346132046043</v>
      </c>
      <c r="C111" s="286">
        <f t="shared" si="35"/>
        <v>1085</v>
      </c>
      <c r="D111" s="287">
        <f t="shared" si="27"/>
        <v>1077.6324410924617</v>
      </c>
      <c r="E111" s="287">
        <f t="shared" si="28"/>
        <v>510.35415330926821</v>
      </c>
      <c r="F111" s="288">
        <f t="shared" si="29"/>
        <v>21.797973144</v>
      </c>
      <c r="G111" s="285">
        <f t="shared" si="30"/>
        <v>11.997115566282966</v>
      </c>
      <c r="H111" s="286">
        <f t="shared" si="31"/>
        <v>21.7</v>
      </c>
      <c r="I111" s="287">
        <f t="shared" si="32"/>
        <v>19.667308033010631</v>
      </c>
      <c r="J111" s="287">
        <f t="shared" si="33"/>
        <v>6.2281926899368925</v>
      </c>
      <c r="K111" s="288">
        <f t="shared" si="34"/>
        <v>0.22059599999999999</v>
      </c>
      <c r="L111" s="285">
        <f t="shared" si="21"/>
        <v>597.80205828634712</v>
      </c>
      <c r="M111" s="286">
        <f t="shared" si="22"/>
        <v>813.75</v>
      </c>
      <c r="N111" s="287">
        <f t="shared" si="23"/>
        <v>782.95851663166093</v>
      </c>
      <c r="O111" s="287">
        <f t="shared" si="24"/>
        <v>305.567637448249</v>
      </c>
      <c r="P111" s="287">
        <f t="shared" si="25"/>
        <v>11.0298</v>
      </c>
    </row>
    <row r="112" spans="1:16" x14ac:dyDescent="0.3">
      <c r="A112" s="276">
        <f t="shared" si="36"/>
        <v>101</v>
      </c>
      <c r="B112" s="285">
        <f t="shared" si="26"/>
        <v>1068.0318456855687</v>
      </c>
      <c r="C112" s="286">
        <f t="shared" si="35"/>
        <v>1106.8085000000001</v>
      </c>
      <c r="D112" s="287">
        <f t="shared" si="27"/>
        <v>1097.3722345074775</v>
      </c>
      <c r="E112" s="287">
        <f t="shared" si="28"/>
        <v>516.58309387838915</v>
      </c>
      <c r="F112" s="288">
        <f t="shared" si="29"/>
        <v>22.018569144000001</v>
      </c>
      <c r="G112" s="285">
        <f t="shared" si="30"/>
        <v>11.997346192869275</v>
      </c>
      <c r="H112" s="286">
        <f t="shared" si="31"/>
        <v>21.917000000000002</v>
      </c>
      <c r="I112" s="287">
        <f t="shared" si="32"/>
        <v>19.812139187348308</v>
      </c>
      <c r="J112" s="287">
        <f t="shared" si="33"/>
        <v>6.2296751011135072</v>
      </c>
      <c r="K112" s="288">
        <f t="shared" si="34"/>
        <v>0.22059599999999999</v>
      </c>
      <c r="L112" s="285">
        <f t="shared" si="21"/>
        <v>597.97779600267279</v>
      </c>
      <c r="M112" s="286">
        <f t="shared" si="22"/>
        <v>824.6</v>
      </c>
      <c r="N112" s="287">
        <f t="shared" si="23"/>
        <v>791.35582018464356</v>
      </c>
      <c r="O112" s="287">
        <f t="shared" si="24"/>
        <v>305.94899703411693</v>
      </c>
      <c r="P112" s="287">
        <f t="shared" si="25"/>
        <v>11.0298</v>
      </c>
    </row>
    <row r="113" spans="1:16" x14ac:dyDescent="0.3">
      <c r="A113" s="276">
        <f t="shared" si="36"/>
        <v>102</v>
      </c>
      <c r="B113" s="285">
        <f t="shared" si="26"/>
        <v>1080.0292994451374</v>
      </c>
      <c r="C113" s="286">
        <f t="shared" si="35"/>
        <v>1128.8340000000001</v>
      </c>
      <c r="D113" s="287">
        <f t="shared" si="27"/>
        <v>1117.2564410538744</v>
      </c>
      <c r="E113" s="287">
        <f t="shared" si="28"/>
        <v>522.81347752664465</v>
      </c>
      <c r="F113" s="288">
        <f t="shared" si="29"/>
        <v>22.239165144000001</v>
      </c>
      <c r="G113" s="285">
        <f t="shared" si="30"/>
        <v>11.997558379571872</v>
      </c>
      <c r="H113" s="286">
        <f t="shared" si="31"/>
        <v>22.134</v>
      </c>
      <c r="I113" s="287">
        <f t="shared" si="32"/>
        <v>19.95613510090298</v>
      </c>
      <c r="J113" s="287">
        <f t="shared" si="33"/>
        <v>6.2310795501542655</v>
      </c>
      <c r="K113" s="288">
        <f t="shared" si="34"/>
        <v>0.22059599999999999</v>
      </c>
      <c r="L113" s="285">
        <f t="shared" si="21"/>
        <v>598.13948250701799</v>
      </c>
      <c r="M113" s="286">
        <f t="shared" si="22"/>
        <v>835.45</v>
      </c>
      <c r="N113" s="287">
        <f t="shared" si="23"/>
        <v>799.7046965161021</v>
      </c>
      <c r="O113" s="287">
        <f t="shared" si="24"/>
        <v>306.31030037087373</v>
      </c>
      <c r="P113" s="287">
        <f t="shared" si="25"/>
        <v>11.0298</v>
      </c>
    </row>
    <row r="114" spans="1:16" x14ac:dyDescent="0.3">
      <c r="A114" s="276">
        <f t="shared" si="36"/>
        <v>103</v>
      </c>
      <c r="B114" s="285">
        <f t="shared" si="26"/>
        <v>1092.0269567908506</v>
      </c>
      <c r="C114" s="286">
        <f t="shared" si="35"/>
        <v>1151.0764999999999</v>
      </c>
      <c r="D114" s="287">
        <f t="shared" si="27"/>
        <v>1137.2842279016077</v>
      </c>
      <c r="E114" s="287">
        <f t="shared" si="28"/>
        <v>529.0452283604277</v>
      </c>
      <c r="F114" s="288">
        <f t="shared" si="29"/>
        <v>22.459761143999998</v>
      </c>
      <c r="G114" s="285">
        <f t="shared" si="30"/>
        <v>11.997753600762456</v>
      </c>
      <c r="H114" s="286">
        <f t="shared" si="31"/>
        <v>22.350999999999999</v>
      </c>
      <c r="I114" s="287">
        <f t="shared" si="32"/>
        <v>20.09930059050545</v>
      </c>
      <c r="J114" s="287">
        <f t="shared" si="33"/>
        <v>6.2324101372000218</v>
      </c>
      <c r="K114" s="288">
        <f t="shared" si="34"/>
        <v>0.22059599999999999</v>
      </c>
      <c r="L114" s="285">
        <f t="shared" si="21"/>
        <v>598.28824127226176</v>
      </c>
      <c r="M114" s="286">
        <f t="shared" si="22"/>
        <v>846.3</v>
      </c>
      <c r="N114" s="287">
        <f t="shared" si="23"/>
        <v>808.00542490566067</v>
      </c>
      <c r="O114" s="287">
        <f t="shared" si="24"/>
        <v>306.65260224550599</v>
      </c>
      <c r="P114" s="287">
        <f t="shared" si="25"/>
        <v>11.0298</v>
      </c>
    </row>
    <row r="115" spans="1:16" x14ac:dyDescent="0.3">
      <c r="A115" s="276">
        <f t="shared" si="36"/>
        <v>104</v>
      </c>
      <c r="B115" s="285">
        <f t="shared" si="26"/>
        <v>1104.0248014448584</v>
      </c>
      <c r="C115" s="286">
        <f t="shared" si="35"/>
        <v>1173.5360000000001</v>
      </c>
      <c r="D115" s="287">
        <f t="shared" si="27"/>
        <v>1157.4547670235597</v>
      </c>
      <c r="E115" s="287">
        <f t="shared" si="28"/>
        <v>535.27827447748507</v>
      </c>
      <c r="F115" s="288">
        <f t="shared" si="29"/>
        <v>22.680357143999998</v>
      </c>
      <c r="G115" s="285">
        <f t="shared" si="30"/>
        <v>11.997933212928469</v>
      </c>
      <c r="H115" s="286">
        <f t="shared" si="31"/>
        <v>22.568000000000001</v>
      </c>
      <c r="I115" s="287">
        <f t="shared" si="32"/>
        <v>20.241640445207867</v>
      </c>
      <c r="J115" s="287">
        <f t="shared" si="33"/>
        <v>6.2336707467593246</v>
      </c>
      <c r="K115" s="288">
        <f t="shared" si="34"/>
        <v>0.22059599999999999</v>
      </c>
      <c r="L115" s="285">
        <f t="shared" si="21"/>
        <v>598.42510594335147</v>
      </c>
      <c r="M115" s="286">
        <f t="shared" si="22"/>
        <v>857.15</v>
      </c>
      <c r="N115" s="287">
        <f t="shared" si="23"/>
        <v>816.25828302233992</v>
      </c>
      <c r="O115" s="287">
        <f t="shared" si="24"/>
        <v>306.97690197223574</v>
      </c>
      <c r="P115" s="287">
        <f t="shared" si="25"/>
        <v>11.0298</v>
      </c>
    </row>
    <row r="116" spans="1:16" x14ac:dyDescent="0.3">
      <c r="A116" s="276">
        <f t="shared" si="36"/>
        <v>105</v>
      </c>
      <c r="B116" s="285">
        <f t="shared" si="26"/>
        <v>1116.0228184308166</v>
      </c>
      <c r="C116" s="286">
        <f t="shared" si="35"/>
        <v>1196.2125000000001</v>
      </c>
      <c r="D116" s="287">
        <f t="shared" si="27"/>
        <v>1177.76723516784</v>
      </c>
      <c r="E116" s="287">
        <f t="shared" si="28"/>
        <v>541.51254775700625</v>
      </c>
      <c r="F116" s="288">
        <f t="shared" si="29"/>
        <v>22.900953144000002</v>
      </c>
      <c r="G116" s="285">
        <f t="shared" si="30"/>
        <v>11.998098464098611</v>
      </c>
      <c r="H116" s="286">
        <f t="shared" si="31"/>
        <v>22.785</v>
      </c>
      <c r="I116" s="287">
        <f t="shared" si="32"/>
        <v>20.383159426443953</v>
      </c>
      <c r="J116" s="287">
        <f t="shared" si="33"/>
        <v>6.2348650590488335</v>
      </c>
      <c r="K116" s="288">
        <f t="shared" si="34"/>
        <v>0.22059599999999999</v>
      </c>
      <c r="L116" s="285">
        <f t="shared" si="21"/>
        <v>598.55102751954757</v>
      </c>
      <c r="M116" s="286">
        <f t="shared" si="22"/>
        <v>868</v>
      </c>
      <c r="N116" s="287">
        <f t="shared" si="23"/>
        <v>824.46354693384274</v>
      </c>
      <c r="O116" s="287">
        <f t="shared" si="24"/>
        <v>307.28414630991261</v>
      </c>
      <c r="P116" s="287">
        <f t="shared" si="25"/>
        <v>11.0298</v>
      </c>
    </row>
    <row r="117" spans="1:16" x14ac:dyDescent="0.3">
      <c r="A117" s="276">
        <f t="shared" si="36"/>
        <v>106</v>
      </c>
      <c r="B117" s="285">
        <f t="shared" si="26"/>
        <v>1128.0209939698234</v>
      </c>
      <c r="C117" s="286">
        <f t="shared" si="35"/>
        <v>1219.106</v>
      </c>
      <c r="D117" s="287">
        <f t="shared" si="27"/>
        <v>1198.2208138302528</v>
      </c>
      <c r="E117" s="287">
        <f t="shared" si="28"/>
        <v>547.74798366075242</v>
      </c>
      <c r="F117" s="288">
        <f t="shared" si="29"/>
        <v>23.121549143999999</v>
      </c>
      <c r="G117" s="285">
        <f t="shared" si="30"/>
        <v>11.998250502514711</v>
      </c>
      <c r="H117" s="286">
        <f t="shared" si="31"/>
        <v>23.001999999999999</v>
      </c>
      <c r="I117" s="287">
        <f t="shared" si="32"/>
        <v>20.523862268188243</v>
      </c>
      <c r="J117" s="287">
        <f t="shared" si="33"/>
        <v>6.2359965607373162</v>
      </c>
      <c r="K117" s="288">
        <f t="shared" si="34"/>
        <v>0.22059599999999999</v>
      </c>
      <c r="L117" s="285">
        <f t="shared" si="21"/>
        <v>598.66688096240819</v>
      </c>
      <c r="M117" s="286">
        <f t="shared" si="22"/>
        <v>878.85</v>
      </c>
      <c r="N117" s="287">
        <f t="shared" si="23"/>
        <v>832.62149111579231</v>
      </c>
      <c r="O117" s="287">
        <f t="shared" si="24"/>
        <v>307.57523222597706</v>
      </c>
      <c r="P117" s="287">
        <f t="shared" si="25"/>
        <v>11.0298</v>
      </c>
    </row>
    <row r="118" spans="1:16" x14ac:dyDescent="0.3">
      <c r="A118" s="276">
        <f t="shared" si="36"/>
        <v>107</v>
      </c>
      <c r="B118" s="285">
        <f t="shared" si="26"/>
        <v>1140.0193153846769</v>
      </c>
      <c r="C118" s="286">
        <f t="shared" si="35"/>
        <v>1242.2165</v>
      </c>
      <c r="D118" s="287">
        <f t="shared" si="27"/>
        <v>1218.8146892269117</v>
      </c>
      <c r="E118" s="287">
        <f t="shared" si="28"/>
        <v>553.98452104464332</v>
      </c>
      <c r="F118" s="288">
        <f t="shared" si="29"/>
        <v>23.342145144</v>
      </c>
      <c r="G118" s="285">
        <f t="shared" si="30"/>
        <v>11.99839038461025</v>
      </c>
      <c r="H118" s="286">
        <f t="shared" si="31"/>
        <v>23.219000000000001</v>
      </c>
      <c r="I118" s="287">
        <f t="shared" si="32"/>
        <v>20.66375367711445</v>
      </c>
      <c r="J118" s="287">
        <f t="shared" si="33"/>
        <v>6.2370685551246199</v>
      </c>
      <c r="K118" s="288">
        <f t="shared" si="34"/>
        <v>0.22059599999999999</v>
      </c>
      <c r="L118" s="285">
        <f t="shared" si="21"/>
        <v>598.7734712754276</v>
      </c>
      <c r="M118" s="286">
        <f t="shared" si="22"/>
        <v>889.7</v>
      </c>
      <c r="N118" s="287">
        <f t="shared" si="23"/>
        <v>840.73238846090999</v>
      </c>
      <c r="O118" s="287">
        <f t="shared" si="24"/>
        <v>307.85100951506132</v>
      </c>
      <c r="P118" s="287">
        <f t="shared" si="25"/>
        <v>11.0298</v>
      </c>
    </row>
    <row r="119" spans="1:16" x14ac:dyDescent="0.3">
      <c r="A119" s="276">
        <f t="shared" si="36"/>
        <v>108</v>
      </c>
      <c r="B119" s="285">
        <f t="shared" si="26"/>
        <v>1152.0177710117885</v>
      </c>
      <c r="C119" s="286">
        <f t="shared" si="35"/>
        <v>1265.5440000000001</v>
      </c>
      <c r="D119" s="287">
        <f t="shared" si="27"/>
        <v>1239.5480522670196</v>
      </c>
      <c r="E119" s="287">
        <f t="shared" si="28"/>
        <v>560.22210198025425</v>
      </c>
      <c r="F119" s="288">
        <f t="shared" si="29"/>
        <v>23.562741144</v>
      </c>
      <c r="G119" s="285">
        <f t="shared" si="30"/>
        <v>11.99851908235096</v>
      </c>
      <c r="H119" s="286">
        <f t="shared" si="31"/>
        <v>23.436</v>
      </c>
      <c r="I119" s="287">
        <f t="shared" si="32"/>
        <v>20.802838332752923</v>
      </c>
      <c r="J119" s="287">
        <f t="shared" si="33"/>
        <v>6.2380841717853004</v>
      </c>
      <c r="K119" s="288">
        <f t="shared" si="34"/>
        <v>0.22059599999999999</v>
      </c>
      <c r="L119" s="285">
        <f t="shared" si="21"/>
        <v>598.87153909757478</v>
      </c>
      <c r="M119" s="286">
        <f t="shared" si="22"/>
        <v>900.55</v>
      </c>
      <c r="N119" s="287">
        <f t="shared" si="23"/>
        <v>848.79651028814658</v>
      </c>
      <c r="O119" s="287">
        <f t="shared" si="24"/>
        <v>308.11228327987601</v>
      </c>
      <c r="P119" s="287">
        <f t="shared" si="25"/>
        <v>11.0298</v>
      </c>
    </row>
    <row r="120" spans="1:16" x14ac:dyDescent="0.3">
      <c r="A120" s="276">
        <f t="shared" si="36"/>
        <v>109</v>
      </c>
      <c r="B120" s="285">
        <f t="shared" si="26"/>
        <v>1164.0163501201382</v>
      </c>
      <c r="C120" s="286">
        <f t="shared" si="35"/>
        <v>1289.0884999999998</v>
      </c>
      <c r="D120" s="287">
        <f t="shared" si="27"/>
        <v>1260.4200985258014</v>
      </c>
      <c r="E120" s="287">
        <f t="shared" si="28"/>
        <v>566.46067158569895</v>
      </c>
      <c r="F120" s="288">
        <f t="shared" si="29"/>
        <v>23.783337144000001</v>
      </c>
      <c r="G120" s="285">
        <f t="shared" si="30"/>
        <v>11.998637489988475</v>
      </c>
      <c r="H120" s="286">
        <f t="shared" si="31"/>
        <v>23.652999999999999</v>
      </c>
      <c r="I120" s="287">
        <f t="shared" si="32"/>
        <v>20.941120887647187</v>
      </c>
      <c r="J120" s="287">
        <f t="shared" si="33"/>
        <v>6.239046375705084</v>
      </c>
      <c r="K120" s="288">
        <f t="shared" si="34"/>
        <v>0.22059599999999999</v>
      </c>
      <c r="L120" s="285">
        <f t="shared" si="21"/>
        <v>598.96176584959608</v>
      </c>
      <c r="M120" s="286">
        <f t="shared" si="22"/>
        <v>911.4</v>
      </c>
      <c r="N120" s="287">
        <f t="shared" si="23"/>
        <v>856.81412635175809</v>
      </c>
      <c r="O120" s="287">
        <f t="shared" si="24"/>
        <v>308.3598162816221</v>
      </c>
      <c r="P120" s="287">
        <f t="shared" si="25"/>
        <v>11.0298</v>
      </c>
    </row>
    <row r="121" spans="1:16" x14ac:dyDescent="0.3">
      <c r="A121" s="276">
        <f t="shared" si="36"/>
        <v>110</v>
      </c>
      <c r="B121" s="285">
        <f t="shared" si="26"/>
        <v>1176.0150428367117</v>
      </c>
      <c r="C121" s="286">
        <f t="shared" si="35"/>
        <v>1312.8500000000001</v>
      </c>
      <c r="D121" s="287">
        <f t="shared" si="27"/>
        <v>1281.4300282175989</v>
      </c>
      <c r="E121" s="287">
        <f t="shared" si="28"/>
        <v>572.70017786540927</v>
      </c>
      <c r="F121" s="288">
        <f t="shared" si="29"/>
        <v>24.003933143999994</v>
      </c>
      <c r="G121" s="285">
        <f t="shared" si="30"/>
        <v>11.99874643027402</v>
      </c>
      <c r="H121" s="286">
        <f t="shared" si="31"/>
        <v>23.87</v>
      </c>
      <c r="I121" s="287">
        <f t="shared" si="32"/>
        <v>21.078605967509549</v>
      </c>
      <c r="J121" s="287">
        <f t="shared" si="33"/>
        <v>6.2399579759368367</v>
      </c>
      <c r="K121" s="288">
        <f t="shared" si="34"/>
        <v>0.22059599999999999</v>
      </c>
      <c r="L121" s="285">
        <f t="shared" si="21"/>
        <v>599.04477846884345</v>
      </c>
      <c r="M121" s="286">
        <f t="shared" si="22"/>
        <v>922.25</v>
      </c>
      <c r="N121" s="287">
        <f t="shared" si="23"/>
        <v>864.78550485032713</v>
      </c>
      <c r="O121" s="287">
        <f t="shared" si="24"/>
        <v>308.59433116679207</v>
      </c>
      <c r="P121" s="287">
        <f t="shared" si="25"/>
        <v>11.0298</v>
      </c>
    </row>
    <row r="122" spans="1:16" x14ac:dyDescent="0.3">
      <c r="A122" s="276">
        <f t="shared" si="36"/>
        <v>111</v>
      </c>
      <c r="B122" s="285">
        <f t="shared" si="26"/>
        <v>1188.0138400778969</v>
      </c>
      <c r="C122" s="286">
        <f t="shared" si="35"/>
        <v>1336.8285000000001</v>
      </c>
      <c r="D122" s="287">
        <f t="shared" si="27"/>
        <v>1302.5770461691161</v>
      </c>
      <c r="E122" s="287">
        <f t="shared" si="28"/>
        <v>578.94057155833809</v>
      </c>
      <c r="F122" s="288">
        <f t="shared" si="29"/>
        <v>24.224529143999995</v>
      </c>
      <c r="G122" s="285">
        <f t="shared" si="30"/>
        <v>11.998846660175264</v>
      </c>
      <c r="H122" s="286">
        <f t="shared" si="31"/>
        <v>24.087</v>
      </c>
      <c r="I122" s="287">
        <f t="shared" si="32"/>
        <v>21.215298171375846</v>
      </c>
      <c r="J122" s="287">
        <f t="shared" si="33"/>
        <v>6.2408216338012927</v>
      </c>
      <c r="K122" s="288">
        <f t="shared" si="34"/>
        <v>0.22059599999999999</v>
      </c>
      <c r="L122" s="285">
        <f t="shared" si="21"/>
        <v>599.12115376552572</v>
      </c>
      <c r="M122" s="286">
        <f t="shared" si="22"/>
        <v>933.1</v>
      </c>
      <c r="N122" s="287">
        <f t="shared" si="23"/>
        <v>872.71091243573721</v>
      </c>
      <c r="O122" s="287">
        <f t="shared" si="24"/>
        <v>308.81651257685996</v>
      </c>
      <c r="P122" s="287">
        <f t="shared" si="25"/>
        <v>11.0298</v>
      </c>
    </row>
    <row r="123" spans="1:16" x14ac:dyDescent="0.3">
      <c r="A123" s="276">
        <f t="shared" si="36"/>
        <v>112</v>
      </c>
      <c r="B123" s="285">
        <f t="shared" si="26"/>
        <v>1200.0127334863671</v>
      </c>
      <c r="C123" s="286">
        <f t="shared" si="35"/>
        <v>1361.0239999999999</v>
      </c>
      <c r="D123" s="287">
        <f t="shared" si="27"/>
        <v>1323.8603617928159</v>
      </c>
      <c r="E123" s="287">
        <f t="shared" si="28"/>
        <v>585.18180599414836</v>
      </c>
      <c r="F123" s="288">
        <f t="shared" si="29"/>
        <v>24.445125143999999</v>
      </c>
      <c r="G123" s="285">
        <f t="shared" si="30"/>
        <v>11.998938876136082</v>
      </c>
      <c r="H123" s="286">
        <f t="shared" si="31"/>
        <v>24.303999999999998</v>
      </c>
      <c r="I123" s="287">
        <f t="shared" si="32"/>
        <v>21.351202071759307</v>
      </c>
      <c r="J123" s="287">
        <f t="shared" si="33"/>
        <v>6.2416398706565008</v>
      </c>
      <c r="K123" s="288">
        <f t="shared" si="34"/>
        <v>0.22059599999999999</v>
      </c>
      <c r="L123" s="285">
        <f t="shared" si="21"/>
        <v>599.19142243065392</v>
      </c>
      <c r="M123" s="286">
        <f t="shared" si="22"/>
        <v>943.95</v>
      </c>
      <c r="N123" s="287">
        <f t="shared" si="23"/>
        <v>880.59061422209049</v>
      </c>
      <c r="O123" s="287">
        <f t="shared" si="24"/>
        <v>309.02700914701995</v>
      </c>
      <c r="P123" s="287">
        <f t="shared" si="25"/>
        <v>11.0298</v>
      </c>
    </row>
    <row r="124" spans="1:16" x14ac:dyDescent="0.3">
      <c r="A124" s="276">
        <f t="shared" si="36"/>
        <v>113</v>
      </c>
      <c r="B124" s="285">
        <f t="shared" si="26"/>
        <v>1212.0117153730107</v>
      </c>
      <c r="C124" s="286">
        <f t="shared" si="35"/>
        <v>1385.4365</v>
      </c>
      <c r="D124" s="287">
        <f t="shared" si="27"/>
        <v>1345.2791890604797</v>
      </c>
      <c r="E124" s="287">
        <f t="shared" si="28"/>
        <v>591.42383695696219</v>
      </c>
      <c r="F124" s="288">
        <f t="shared" si="29"/>
        <v>24.665721143999999</v>
      </c>
      <c r="G124" s="285">
        <f t="shared" si="30"/>
        <v>11.999023718915772</v>
      </c>
      <c r="H124" s="286">
        <f t="shared" si="31"/>
        <v>24.521000000000001</v>
      </c>
      <c r="I124" s="287">
        <f t="shared" si="32"/>
        <v>21.486322214803472</v>
      </c>
      <c r="J124" s="287">
        <f t="shared" si="33"/>
        <v>6.2424150752586653</v>
      </c>
      <c r="K124" s="288">
        <f t="shared" si="34"/>
        <v>0.22059599999999999</v>
      </c>
      <c r="L124" s="285">
        <f t="shared" si="21"/>
        <v>599.25607272352863</v>
      </c>
      <c r="M124" s="286">
        <f t="shared" si="22"/>
        <v>954.8</v>
      </c>
      <c r="N124" s="287">
        <f t="shared" si="23"/>
        <v>888.42487379457771</v>
      </c>
      <c r="O124" s="287">
        <f t="shared" si="24"/>
        <v>309.22643539980862</v>
      </c>
      <c r="P124" s="287">
        <f t="shared" si="25"/>
        <v>11.0298</v>
      </c>
    </row>
    <row r="125" spans="1:16" x14ac:dyDescent="0.3">
      <c r="A125" s="276">
        <f t="shared" si="36"/>
        <v>114</v>
      </c>
      <c r="B125" s="285">
        <f t="shared" si="26"/>
        <v>1224.0107786635037</v>
      </c>
      <c r="C125" s="286">
        <f t="shared" si="35"/>
        <v>1410.066</v>
      </c>
      <c r="D125" s="287">
        <f t="shared" si="27"/>
        <v>1366.8327464769086</v>
      </c>
      <c r="E125" s="287">
        <f t="shared" si="28"/>
        <v>597.66662255627932</v>
      </c>
      <c r="F125" s="288">
        <f t="shared" si="29"/>
        <v>24.886317144</v>
      </c>
      <c r="G125" s="285">
        <f t="shared" si="30"/>
        <v>11.999101778041348</v>
      </c>
      <c r="H125" s="286">
        <f t="shared" si="31"/>
        <v>24.738</v>
      </c>
      <c r="I125" s="287">
        <f t="shared" si="32"/>
        <v>21.620663120434308</v>
      </c>
      <c r="J125" s="287">
        <f t="shared" si="33"/>
        <v>6.2431495107358632</v>
      </c>
      <c r="K125" s="288">
        <f t="shared" si="34"/>
        <v>0.22059599999999999</v>
      </c>
      <c r="L125" s="285">
        <f t="shared" si="21"/>
        <v>599.31555386439209</v>
      </c>
      <c r="M125" s="286">
        <f t="shared" si="22"/>
        <v>965.65</v>
      </c>
      <c r="N125" s="287">
        <f t="shared" si="23"/>
        <v>896.21395321829448</v>
      </c>
      <c r="O125" s="287">
        <f t="shared" si="24"/>
        <v>309.41537353913833</v>
      </c>
      <c r="P125" s="287">
        <f t="shared" si="25"/>
        <v>11.0298</v>
      </c>
    </row>
    <row r="126" spans="1:16" x14ac:dyDescent="0.3">
      <c r="A126" s="276">
        <f t="shared" si="36"/>
        <v>115</v>
      </c>
      <c r="B126" s="285">
        <f t="shared" si="26"/>
        <v>1236.0099168491538</v>
      </c>
      <c r="C126" s="286">
        <f t="shared" si="35"/>
        <v>1434.9124999999999</v>
      </c>
      <c r="D126" s="287">
        <f t="shared" si="27"/>
        <v>1388.5202570537849</v>
      </c>
      <c r="E126" s="287">
        <f t="shared" si="28"/>
        <v>603.91012310468045</v>
      </c>
      <c r="F126" s="288">
        <f t="shared" si="29"/>
        <v>25.106913143999996</v>
      </c>
      <c r="G126" s="285">
        <f t="shared" si="30"/>
        <v>11.999173595903844</v>
      </c>
      <c r="H126" s="286">
        <f t="shared" si="31"/>
        <v>24.954999999999998</v>
      </c>
      <c r="I126" s="287">
        <f t="shared" si="32"/>
        <v>21.754229282511364</v>
      </c>
      <c r="J126" s="287">
        <f t="shared" si="33"/>
        <v>6.243845321195014</v>
      </c>
      <c r="K126" s="288">
        <f t="shared" si="34"/>
        <v>0.22059599999999999</v>
      </c>
      <c r="L126" s="285">
        <f t="shared" si="21"/>
        <v>599.37027915581928</v>
      </c>
      <c r="M126" s="286">
        <f t="shared" si="22"/>
        <v>976.5</v>
      </c>
      <c r="N126" s="287">
        <f t="shared" si="23"/>
        <v>903.95811304700715</v>
      </c>
      <c r="O126" s="287">
        <f t="shared" si="24"/>
        <v>309.59437514998041</v>
      </c>
      <c r="P126" s="287">
        <f t="shared" si="25"/>
        <v>11.0298</v>
      </c>
    </row>
    <row r="127" spans="1:16" x14ac:dyDescent="0.3">
      <c r="A127" s="276">
        <f t="shared" si="36"/>
        <v>116</v>
      </c>
      <c r="B127" s="285">
        <f t="shared" si="26"/>
        <v>1248.0091239416747</v>
      </c>
      <c r="C127" s="286">
        <f t="shared" si="35"/>
        <v>1459.9760000000001</v>
      </c>
      <c r="D127" s="287">
        <f t="shared" si="27"/>
        <v>1410.340948283681</v>
      </c>
      <c r="E127" s="287">
        <f t="shared" si="28"/>
        <v>610.154301001965</v>
      </c>
      <c r="F127" s="288">
        <f t="shared" si="29"/>
        <v>25.327509143999997</v>
      </c>
      <c r="G127" s="285">
        <f t="shared" si="30"/>
        <v>11.999239671527105</v>
      </c>
      <c r="H127" s="286">
        <f t="shared" si="31"/>
        <v>25.172000000000001</v>
      </c>
      <c r="I127" s="287">
        <f t="shared" si="32"/>
        <v>21.887025168978131</v>
      </c>
      <c r="J127" s="287">
        <f t="shared" si="33"/>
        <v>6.2445045379813688</v>
      </c>
      <c r="K127" s="288">
        <f t="shared" si="34"/>
        <v>0.22059599999999999</v>
      </c>
      <c r="L127" s="285">
        <f t="shared" ref="L127:L190" si="37">12*50-12*12*EXP(-A127/12)*(EXP(50/12)-1)</f>
        <v>599.42062885453595</v>
      </c>
      <c r="M127" s="286">
        <f t="shared" ref="M127:M190" si="38">0.217*(50*A127-50*50/2)</f>
        <v>987.35</v>
      </c>
      <c r="N127" s="287">
        <f t="shared" ref="N127:N190" si="39">0.259*(172.9*50-172.9*172.9*EXP(-A127/172.9)*(EXP(50/172.9)-1))</f>
        <v>911.6576123318705</v>
      </c>
      <c r="O127" s="287">
        <f t="shared" ref="O127:O190" si="40">0.338*(18.51*50-18.51*18.51*EXP(-A127/18.51)*(EXP(50/18.51)-1))</f>
        <v>309.76396280865924</v>
      </c>
      <c r="P127" s="287">
        <f t="shared" ref="P127:P190" si="41">0.186*(1.186*50-1.186*1.186*EXP(-A127/1.186)*(EXP(50/1.186)-1))</f>
        <v>11.0298</v>
      </c>
    </row>
    <row r="128" spans="1:16" x14ac:dyDescent="0.3">
      <c r="A128" s="276">
        <f t="shared" si="36"/>
        <v>117</v>
      </c>
      <c r="B128" s="285">
        <f t="shared" si="26"/>
        <v>1260.0083944315772</v>
      </c>
      <c r="C128" s="286">
        <f t="shared" si="35"/>
        <v>1485.2565</v>
      </c>
      <c r="D128" s="287">
        <f t="shared" si="27"/>
        <v>1432.294052114215</v>
      </c>
      <c r="E128" s="287">
        <f t="shared" si="28"/>
        <v>616.39912062538099</v>
      </c>
      <c r="F128" s="288">
        <f t="shared" si="29"/>
        <v>25.548105143999997</v>
      </c>
      <c r="G128" s="285">
        <f t="shared" si="30"/>
        <v>11.99930046403523</v>
      </c>
      <c r="H128" s="286">
        <f t="shared" si="31"/>
        <v>25.388999999999999</v>
      </c>
      <c r="I128" s="287">
        <f t="shared" si="32"/>
        <v>22.019055222011477</v>
      </c>
      <c r="J128" s="287">
        <f t="shared" si="33"/>
        <v>6.2451290856088111</v>
      </c>
      <c r="K128" s="288">
        <f t="shared" si="34"/>
        <v>0.22059599999999999</v>
      </c>
      <c r="L128" s="285">
        <f t="shared" si="37"/>
        <v>599.46695281361838</v>
      </c>
      <c r="M128" s="286">
        <f t="shared" si="38"/>
        <v>998.2</v>
      </c>
      <c r="N128" s="287">
        <f t="shared" si="39"/>
        <v>919.31270863009138</v>
      </c>
      <c r="O128" s="287">
        <f t="shared" si="40"/>
        <v>309.92463160845875</v>
      </c>
      <c r="P128" s="287">
        <f t="shared" si="41"/>
        <v>11.0298</v>
      </c>
    </row>
    <row r="129" spans="1:16" x14ac:dyDescent="0.3">
      <c r="A129" s="276">
        <f t="shared" si="36"/>
        <v>118</v>
      </c>
      <c r="B129" s="285">
        <f t="shared" si="26"/>
        <v>1272.0077232498866</v>
      </c>
      <c r="C129" s="286">
        <f t="shared" si="35"/>
        <v>1510.7539999999999</v>
      </c>
      <c r="D129" s="287">
        <f t="shared" si="27"/>
        <v>1454.378804922362</v>
      </c>
      <c r="E129" s="287">
        <f t="shared" si="28"/>
        <v>622.64454822562845</v>
      </c>
      <c r="F129" s="288">
        <f t="shared" si="29"/>
        <v>25.768701143999994</v>
      </c>
      <c r="G129" s="285">
        <f t="shared" si="30"/>
        <v>11.999356395842781</v>
      </c>
      <c r="H129" s="286">
        <f t="shared" si="31"/>
        <v>25.605999999999998</v>
      </c>
      <c r="I129" s="287">
        <f t="shared" si="32"/>
        <v>22.15032385817026</v>
      </c>
      <c r="J129" s="287">
        <f t="shared" si="33"/>
        <v>6.2457207873782696</v>
      </c>
      <c r="K129" s="288">
        <f t="shared" si="34"/>
        <v>0.22059599999999999</v>
      </c>
      <c r="L129" s="285">
        <f t="shared" si="37"/>
        <v>599.5095729134357</v>
      </c>
      <c r="M129" s="286">
        <f t="shared" si="38"/>
        <v>1009.05</v>
      </c>
      <c r="N129" s="287">
        <f t="shared" si="39"/>
        <v>926.92365801354595</v>
      </c>
      <c r="O129" s="287">
        <f t="shared" si="40"/>
        <v>310.07685060499489</v>
      </c>
      <c r="P129" s="287">
        <f t="shared" si="41"/>
        <v>11.0298</v>
      </c>
    </row>
    <row r="130" spans="1:16" x14ac:dyDescent="0.3">
      <c r="A130" s="276">
        <f t="shared" si="36"/>
        <v>119</v>
      </c>
      <c r="B130" s="285">
        <f t="shared" si="26"/>
        <v>1284.007105732921</v>
      </c>
      <c r="C130" s="286">
        <f t="shared" si="35"/>
        <v>1536.4684999999999</v>
      </c>
      <c r="D130" s="287">
        <f t="shared" si="27"/>
        <v>1476.5944474889081</v>
      </c>
      <c r="E130" s="287">
        <f t="shared" si="28"/>
        <v>628.8905518283309</v>
      </c>
      <c r="F130" s="288">
        <f t="shared" si="29"/>
        <v>25.989297143999995</v>
      </c>
      <c r="G130" s="285">
        <f t="shared" si="30"/>
        <v>11.999407855589919</v>
      </c>
      <c r="H130" s="286">
        <f t="shared" si="31"/>
        <v>25.823</v>
      </c>
      <c r="I130" s="287">
        <f t="shared" si="32"/>
        <v>22.280835468543042</v>
      </c>
      <c r="J130" s="287">
        <f t="shared" si="33"/>
        <v>6.2462813707006584</v>
      </c>
      <c r="K130" s="288">
        <f t="shared" si="34"/>
        <v>0.22059599999999999</v>
      </c>
      <c r="L130" s="285">
        <f t="shared" si="37"/>
        <v>599.54878529822361</v>
      </c>
      <c r="M130" s="286">
        <f t="shared" si="38"/>
        <v>1019.9</v>
      </c>
      <c r="N130" s="287">
        <f t="shared" si="39"/>
        <v>934.49071507734334</v>
      </c>
      <c r="O130" s="287">
        <f t="shared" si="40"/>
        <v>310.22106418557428</v>
      </c>
      <c r="P130" s="287">
        <f t="shared" si="41"/>
        <v>11.0298</v>
      </c>
    </row>
    <row r="131" spans="1:16" x14ac:dyDescent="0.3">
      <c r="A131" s="276">
        <f t="shared" si="36"/>
        <v>120</v>
      </c>
      <c r="B131" s="285">
        <f t="shared" si="26"/>
        <v>1296.0065375898857</v>
      </c>
      <c r="C131" s="286">
        <f t="shared" si="35"/>
        <v>1562.3999999999999</v>
      </c>
      <c r="D131" s="287">
        <f t="shared" si="27"/>
        <v>1498.9402249730542</v>
      </c>
      <c r="E131" s="287">
        <f t="shared" si="28"/>
        <v>635.13710114069124</v>
      </c>
      <c r="F131" s="288">
        <f t="shared" si="29"/>
        <v>26.209893143999999</v>
      </c>
      <c r="G131" s="285">
        <f t="shared" si="30"/>
        <v>11.999455200842849</v>
      </c>
      <c r="H131" s="286">
        <f t="shared" si="31"/>
        <v>26.04</v>
      </c>
      <c r="I131" s="287">
        <f t="shared" si="32"/>
        <v>22.410594418894998</v>
      </c>
      <c r="J131" s="287">
        <f t="shared" si="33"/>
        <v>6.2468124721398626</v>
      </c>
      <c r="K131" s="288">
        <f t="shared" si="34"/>
        <v>0.22059599999999999</v>
      </c>
      <c r="L131" s="285">
        <f t="shared" si="37"/>
        <v>599.58486243383197</v>
      </c>
      <c r="M131" s="286">
        <f t="shared" si="38"/>
        <v>1030.75</v>
      </c>
      <c r="N131" s="287">
        <f t="shared" si="39"/>
        <v>942.01413294834447</v>
      </c>
      <c r="O131" s="287">
        <f t="shared" si="40"/>
        <v>310.35769336653584</v>
      </c>
      <c r="P131" s="287">
        <f t="shared" si="41"/>
        <v>11.0298</v>
      </c>
    </row>
    <row r="132" spans="1:16" x14ac:dyDescent="0.3">
      <c r="A132" s="276">
        <f t="shared" si="36"/>
        <v>121</v>
      </c>
      <c r="B132" s="285">
        <f t="shared" ref="B132:B195" si="42">12*A132-12*12*(1-EXP(-A132/12))</f>
        <v>1308.0060148730595</v>
      </c>
      <c r="C132" s="286">
        <f t="shared" si="35"/>
        <v>1588.5485000000001</v>
      </c>
      <c r="D132" s="287">
        <f t="shared" ref="D132:D195" si="43">0.259*(172.9*A132-172.9*172.9*(1-EXP(-A132/172.9)))</f>
        <v>1521.4153868871647</v>
      </c>
      <c r="E132" s="287">
        <f t="shared" ref="E132:E195" si="44">0.338*(18.51*A132-18.51*18.51*(1-EXP(-A132/18.51)))</f>
        <v>641.38416746305347</v>
      </c>
      <c r="F132" s="288">
        <f t="shared" ref="F132:F195" si="45">0.186*(1.186*A132-1.186*1.186*(1-EXP(-A132/1.186)))</f>
        <v>26.430489143999999</v>
      </c>
      <c r="G132" s="285">
        <f t="shared" ref="G132:G195" si="46">12*(1-EXP(-A132/12))</f>
        <v>11.999498760578369</v>
      </c>
      <c r="H132" s="286">
        <f t="shared" ref="H132:H195" si="47">0.217*A132</f>
        <v>26.257000000000001</v>
      </c>
      <c r="I132" s="287">
        <f t="shared" ref="I132:I195" si="48">0.259*172.9*(1-EXP(-A132/172.9))</f>
        <v>22.539605049813968</v>
      </c>
      <c r="J132" s="287">
        <f t="shared" ref="J132:J195" si="49">0.338*18.51*(1-EXP(-A132/18.51))</f>
        <v>6.2473156421905234</v>
      </c>
      <c r="K132" s="288">
        <f t="shared" ref="K132:K195" si="50">0.186*1.186*(1-EXP(-A132/1.186))</f>
        <v>0.22059599999999999</v>
      </c>
      <c r="L132" s="285">
        <f t="shared" si="37"/>
        <v>599.61805500094431</v>
      </c>
      <c r="M132" s="286">
        <f t="shared" si="38"/>
        <v>1041.5999999999999</v>
      </c>
      <c r="N132" s="287">
        <f t="shared" si="39"/>
        <v>949.49416329362884</v>
      </c>
      <c r="O132" s="287">
        <f t="shared" si="40"/>
        <v>310.4871370223637</v>
      </c>
      <c r="P132" s="287">
        <f t="shared" si="41"/>
        <v>11.0298</v>
      </c>
    </row>
    <row r="133" spans="1:16" x14ac:dyDescent="0.3">
      <c r="A133" s="276">
        <f t="shared" si="36"/>
        <v>122</v>
      </c>
      <c r="B133" s="285">
        <f t="shared" si="42"/>
        <v>1320.0055339503631</v>
      </c>
      <c r="C133" s="286">
        <f t="shared" si="35"/>
        <v>1614.914</v>
      </c>
      <c r="D133" s="287">
        <f t="shared" si="43"/>
        <v>1544.0191870716658</v>
      </c>
      <c r="E133" s="287">
        <f t="shared" si="44"/>
        <v>647.63172360511817</v>
      </c>
      <c r="F133" s="288">
        <f t="shared" si="45"/>
        <v>26.651085144</v>
      </c>
      <c r="G133" s="285">
        <f t="shared" si="46"/>
        <v>11.999538837469737</v>
      </c>
      <c r="H133" s="286">
        <f t="shared" si="47"/>
        <v>26.474</v>
      </c>
      <c r="I133" s="287">
        <f t="shared" si="48"/>
        <v>22.667871676855601</v>
      </c>
      <c r="J133" s="287">
        <f t="shared" si="49"/>
        <v>6.2477923498045351</v>
      </c>
      <c r="K133" s="288">
        <f t="shared" si="50"/>
        <v>0.22059599999999999</v>
      </c>
      <c r="L133" s="285">
        <f t="shared" si="37"/>
        <v>599.64859363692324</v>
      </c>
      <c r="M133" s="286">
        <f t="shared" si="38"/>
        <v>1052.45</v>
      </c>
      <c r="N133" s="287">
        <f t="shared" si="39"/>
        <v>956.93105632891161</v>
      </c>
      <c r="O133" s="287">
        <f t="shared" si="40"/>
        <v>310.60977305015922</v>
      </c>
      <c r="P133" s="287">
        <f t="shared" si="41"/>
        <v>11.0298</v>
      </c>
    </row>
    <row r="134" spans="1:16" x14ac:dyDescent="0.3">
      <c r="A134" s="276">
        <f t="shared" si="36"/>
        <v>123</v>
      </c>
      <c r="B134" s="285">
        <f t="shared" si="42"/>
        <v>1332.0050914801225</v>
      </c>
      <c r="C134" s="286">
        <f t="shared" ref="C134:C197" si="51">0.217*A134*A134/2</f>
        <v>1641.4965</v>
      </c>
      <c r="D134" s="287">
        <f t="shared" si="43"/>
        <v>1566.7508836700808</v>
      </c>
      <c r="E134" s="287">
        <f t="shared" si="44"/>
        <v>653.87974380656249</v>
      </c>
      <c r="F134" s="288">
        <f t="shared" si="45"/>
        <v>26.871681143999997</v>
      </c>
      <c r="G134" s="285">
        <f t="shared" si="46"/>
        <v>11.999575709989795</v>
      </c>
      <c r="H134" s="286">
        <f t="shared" si="47"/>
        <v>26.690999999999999</v>
      </c>
      <c r="I134" s="287">
        <f t="shared" si="48"/>
        <v>22.795398590687793</v>
      </c>
      <c r="J134" s="287">
        <f t="shared" si="49"/>
        <v>6.2482439866795012</v>
      </c>
      <c r="K134" s="288">
        <f t="shared" si="50"/>
        <v>0.22059599999999999</v>
      </c>
      <c r="L134" s="285">
        <f t="shared" si="37"/>
        <v>599.67669053838597</v>
      </c>
      <c r="M134" s="286">
        <f t="shared" si="38"/>
        <v>1063.3</v>
      </c>
      <c r="N134" s="287">
        <f t="shared" si="39"/>
        <v>964.32506082691589</v>
      </c>
      <c r="O134" s="287">
        <f t="shared" si="40"/>
        <v>310.72595947287181</v>
      </c>
      <c r="P134" s="287">
        <f t="shared" si="41"/>
        <v>11.0298</v>
      </c>
    </row>
    <row r="135" spans="1:16" x14ac:dyDescent="0.3">
      <c r="A135" s="276">
        <f t="shared" si="36"/>
        <v>124</v>
      </c>
      <c r="B135" s="285">
        <f t="shared" si="42"/>
        <v>1344.0046843878488</v>
      </c>
      <c r="C135" s="286">
        <f t="shared" si="51"/>
        <v>1668.296</v>
      </c>
      <c r="D135" s="287">
        <f t="shared" si="43"/>
        <v>1589.6097391042201</v>
      </c>
      <c r="E135" s="287">
        <f t="shared" si="44"/>
        <v>660.12820366183644</v>
      </c>
      <c r="F135" s="288">
        <f t="shared" si="45"/>
        <v>27.092277143999997</v>
      </c>
      <c r="G135" s="285">
        <f t="shared" si="46"/>
        <v>11.999609634345928</v>
      </c>
      <c r="H135" s="286">
        <f t="shared" si="47"/>
        <v>26.908000000000001</v>
      </c>
      <c r="I135" s="287">
        <f t="shared" si="48"/>
        <v>22.922190057234126</v>
      </c>
      <c r="J135" s="287">
        <f t="shared" si="49"/>
        <v>6.2486718713216467</v>
      </c>
      <c r="K135" s="288">
        <f t="shared" si="50"/>
        <v>0.22059599999999999</v>
      </c>
      <c r="L135" s="285">
        <f t="shared" si="37"/>
        <v>599.70254093564517</v>
      </c>
      <c r="M135" s="286">
        <f t="shared" si="38"/>
        <v>1074.1500000000001</v>
      </c>
      <c r="N135" s="287">
        <f t="shared" si="39"/>
        <v>971.67642412569262</v>
      </c>
      <c r="O135" s="287">
        <f t="shared" si="40"/>
        <v>310.83603548450878</v>
      </c>
      <c r="P135" s="287">
        <f t="shared" si="41"/>
        <v>11.0298</v>
      </c>
    </row>
    <row r="136" spans="1:16" x14ac:dyDescent="0.3">
      <c r="A136" s="276">
        <f t="shared" si="36"/>
        <v>125</v>
      </c>
      <c r="B136" s="285">
        <f t="shared" si="42"/>
        <v>1356.0043098448764</v>
      </c>
      <c r="C136" s="286">
        <f t="shared" si="51"/>
        <v>1695.3125</v>
      </c>
      <c r="D136" s="287">
        <f t="shared" si="43"/>
        <v>1612.5950200495004</v>
      </c>
      <c r="E136" s="287">
        <f t="shared" si="44"/>
        <v>666.3770800489126</v>
      </c>
      <c r="F136" s="288">
        <f t="shared" si="45"/>
        <v>27.312873143999997</v>
      </c>
      <c r="G136" s="285">
        <f t="shared" si="46"/>
        <v>11.999640846260307</v>
      </c>
      <c r="H136" s="286">
        <f t="shared" si="47"/>
        <v>27.125</v>
      </c>
      <c r="I136" s="287">
        <f t="shared" si="48"/>
        <v>23.048250317816652</v>
      </c>
      <c r="J136" s="287">
        <f t="shared" si="49"/>
        <v>6.2490772528950567</v>
      </c>
      <c r="K136" s="288">
        <f t="shared" si="50"/>
        <v>0.22059599999999999</v>
      </c>
      <c r="L136" s="285">
        <f t="shared" si="37"/>
        <v>599.72632444925955</v>
      </c>
      <c r="M136" s="286">
        <f t="shared" si="38"/>
        <v>1085</v>
      </c>
      <c r="N136" s="287">
        <f t="shared" si="39"/>
        <v>978.9853921368948</v>
      </c>
      <c r="O136" s="287">
        <f t="shared" si="40"/>
        <v>310.94032244037692</v>
      </c>
      <c r="P136" s="287">
        <f t="shared" si="41"/>
        <v>11.0298</v>
      </c>
    </row>
    <row r="137" spans="1:16" x14ac:dyDescent="0.3">
      <c r="A137" s="276">
        <f t="shared" si="36"/>
        <v>126</v>
      </c>
      <c r="B137" s="285">
        <f t="shared" si="42"/>
        <v>1368.0039652487064</v>
      </c>
      <c r="C137" s="286">
        <f t="shared" si="51"/>
        <v>1722.5459999999998</v>
      </c>
      <c r="D137" s="287">
        <f t="shared" si="43"/>
        <v>1635.7059974104234</v>
      </c>
      <c r="E137" s="287">
        <f t="shared" si="44"/>
        <v>672.62635106178448</v>
      </c>
      <c r="F137" s="288">
        <f t="shared" si="45"/>
        <v>27.533469143999994</v>
      </c>
      <c r="G137" s="285">
        <f t="shared" si="46"/>
        <v>11.999669562607803</v>
      </c>
      <c r="H137" s="286">
        <f t="shared" si="47"/>
        <v>27.341999999999999</v>
      </c>
      <c r="I137" s="287">
        <f t="shared" si="48"/>
        <v>23.173583589297724</v>
      </c>
      <c r="J137" s="287">
        <f t="shared" si="49"/>
        <v>6.2494613148684808</v>
      </c>
      <c r="K137" s="288">
        <f t="shared" si="50"/>
        <v>0.22059599999999999</v>
      </c>
      <c r="L137" s="285">
        <f t="shared" si="37"/>
        <v>599.74820633812067</v>
      </c>
      <c r="M137" s="286">
        <f t="shared" si="38"/>
        <v>1095.8499999999999</v>
      </c>
      <c r="N137" s="287">
        <f t="shared" si="39"/>
        <v>986.252209354005</v>
      </c>
      <c r="O137" s="287">
        <f t="shared" si="40"/>
        <v>311.0391247952453</v>
      </c>
      <c r="P137" s="287">
        <f t="shared" si="41"/>
        <v>11.0298</v>
      </c>
    </row>
    <row r="138" spans="1:16" x14ac:dyDescent="0.3">
      <c r="A138" s="276">
        <f t="shared" si="36"/>
        <v>127</v>
      </c>
      <c r="B138" s="285">
        <f t="shared" si="42"/>
        <v>1380.003648204925</v>
      </c>
      <c r="C138" s="286">
        <f t="shared" si="51"/>
        <v>1749.9965</v>
      </c>
      <c r="D138" s="287">
        <f t="shared" si="43"/>
        <v>1658.9419462961778</v>
      </c>
      <c r="E138" s="287">
        <f t="shared" si="44"/>
        <v>678.87599594651397</v>
      </c>
      <c r="F138" s="288">
        <f t="shared" si="45"/>
        <v>27.754065143999995</v>
      </c>
      <c r="G138" s="285">
        <f t="shared" si="46"/>
        <v>11.999695982922924</v>
      </c>
      <c r="H138" s="286">
        <f t="shared" si="47"/>
        <v>27.559000000000001</v>
      </c>
      <c r="I138" s="287">
        <f t="shared" si="48"/>
        <v>23.298194064221061</v>
      </c>
      <c r="J138" s="287">
        <f t="shared" si="49"/>
        <v>6.2498251784703456</v>
      </c>
      <c r="K138" s="288">
        <f t="shared" si="50"/>
        <v>0.22059599999999999</v>
      </c>
      <c r="L138" s="285">
        <f t="shared" si="37"/>
        <v>599.76833864774881</v>
      </c>
      <c r="M138" s="286">
        <f t="shared" si="38"/>
        <v>1106.7</v>
      </c>
      <c r="N138" s="287">
        <f t="shared" si="39"/>
        <v>993.47711886051127</v>
      </c>
      <c r="O138" s="287">
        <f t="shared" si="40"/>
        <v>311.13273099216866</v>
      </c>
      <c r="P138" s="287">
        <f t="shared" si="41"/>
        <v>11.0298</v>
      </c>
    </row>
    <row r="139" spans="1:16" x14ac:dyDescent="0.3">
      <c r="A139" s="276">
        <f t="shared" si="36"/>
        <v>128</v>
      </c>
      <c r="B139" s="285">
        <f t="shared" si="42"/>
        <v>1392.0033565105646</v>
      </c>
      <c r="C139" s="286">
        <f t="shared" si="51"/>
        <v>1777.664</v>
      </c>
      <c r="D139" s="287">
        <f t="shared" si="43"/>
        <v>1682.3021459964018</v>
      </c>
      <c r="E139" s="287">
        <f t="shared" si="44"/>
        <v>685.12599504064235</v>
      </c>
      <c r="F139" s="288">
        <f t="shared" si="45"/>
        <v>27.974661143999999</v>
      </c>
      <c r="G139" s="285">
        <f t="shared" si="46"/>
        <v>11.999720290786286</v>
      </c>
      <c r="H139" s="286">
        <f t="shared" si="47"/>
        <v>27.776</v>
      </c>
      <c r="I139" s="287">
        <f t="shared" si="48"/>
        <v>23.422085910951985</v>
      </c>
      <c r="J139" s="287">
        <f t="shared" si="49"/>
        <v>6.2501699059620615</v>
      </c>
      <c r="K139" s="288">
        <f t="shared" si="50"/>
        <v>0.22059599999999999</v>
      </c>
      <c r="L139" s="285">
        <f t="shared" si="37"/>
        <v>599.78686126677576</v>
      </c>
      <c r="M139" s="286">
        <f t="shared" si="38"/>
        <v>1117.55</v>
      </c>
      <c r="N139" s="287">
        <f t="shared" si="39"/>
        <v>1000.660362338041</v>
      </c>
      <c r="O139" s="287">
        <f t="shared" si="40"/>
        <v>311.22141430456674</v>
      </c>
      <c r="P139" s="287">
        <f t="shared" si="41"/>
        <v>11.0298</v>
      </c>
    </row>
    <row r="140" spans="1:16" x14ac:dyDescent="0.3">
      <c r="A140" s="276">
        <f t="shared" si="36"/>
        <v>129</v>
      </c>
      <c r="B140" s="285">
        <f t="shared" si="42"/>
        <v>1404.0030881387975</v>
      </c>
      <c r="C140" s="286">
        <f t="shared" si="51"/>
        <v>1805.5484999999999</v>
      </c>
      <c r="D140" s="287">
        <f t="shared" si="43"/>
        <v>1705.785879957059</v>
      </c>
      <c r="E140" s="287">
        <f t="shared" si="44"/>
        <v>691.37632971578785</v>
      </c>
      <c r="F140" s="288">
        <f t="shared" si="45"/>
        <v>28.195257143999999</v>
      </c>
      <c r="G140" s="285">
        <f t="shared" si="46"/>
        <v>11.999742655100201</v>
      </c>
      <c r="H140" s="286">
        <f t="shared" si="47"/>
        <v>27.992999999999999</v>
      </c>
      <c r="I140" s="287">
        <f t="shared" si="48"/>
        <v>23.545263273816893</v>
      </c>
      <c r="J140" s="287">
        <f t="shared" si="49"/>
        <v>6.2504965037391838</v>
      </c>
      <c r="K140" s="288">
        <f t="shared" si="50"/>
        <v>0.22059599999999999</v>
      </c>
      <c r="L140" s="285">
        <f t="shared" si="37"/>
        <v>599.80390289895593</v>
      </c>
      <c r="M140" s="286">
        <f t="shared" si="38"/>
        <v>1128.4000000000001</v>
      </c>
      <c r="N140" s="287">
        <f t="shared" si="39"/>
        <v>1007.8021800744438</v>
      </c>
      <c r="O140" s="287">
        <f t="shared" si="40"/>
        <v>311.30543363401705</v>
      </c>
      <c r="P140" s="287">
        <f t="shared" si="41"/>
        <v>11.0298</v>
      </c>
    </row>
    <row r="141" spans="1:16" x14ac:dyDescent="0.3">
      <c r="A141" s="276">
        <f t="shared" si="36"/>
        <v>130</v>
      </c>
      <c r="B141" s="285">
        <f t="shared" si="42"/>
        <v>1416.0028412248523</v>
      </c>
      <c r="C141" s="286">
        <f t="shared" si="51"/>
        <v>1833.65</v>
      </c>
      <c r="D141" s="287">
        <f t="shared" si="43"/>
        <v>1729.3924357564856</v>
      </c>
      <c r="E141" s="287">
        <f t="shared" si="44"/>
        <v>697.62698232326204</v>
      </c>
      <c r="F141" s="288">
        <f t="shared" si="45"/>
        <v>28.415853144</v>
      </c>
      <c r="G141" s="285">
        <f t="shared" si="46"/>
        <v>11.999763231262307</v>
      </c>
      <c r="H141" s="286">
        <f t="shared" si="47"/>
        <v>28.21</v>
      </c>
      <c r="I141" s="287">
        <f t="shared" si="48"/>
        <v>23.66773027324184</v>
      </c>
      <c r="J141" s="287">
        <f t="shared" si="49"/>
        <v>6.2508059252694785</v>
      </c>
      <c r="K141" s="288">
        <f t="shared" si="50"/>
        <v>0.22059599999999999</v>
      </c>
      <c r="L141" s="285">
        <f t="shared" si="37"/>
        <v>599.81958195745938</v>
      </c>
      <c r="M141" s="286">
        <f t="shared" si="38"/>
        <v>1139.25</v>
      </c>
      <c r="N141" s="287">
        <f t="shared" si="39"/>
        <v>1014.90281097183</v>
      </c>
      <c r="O141" s="287">
        <f t="shared" si="40"/>
        <v>311.38503426609071</v>
      </c>
      <c r="P141" s="287">
        <f t="shared" si="41"/>
        <v>11.0298</v>
      </c>
    </row>
    <row r="142" spans="1:16" x14ac:dyDescent="0.3">
      <c r="A142" s="276">
        <f t="shared" ref="A142:A205" si="52">A141+1</f>
        <v>131</v>
      </c>
      <c r="B142" s="285">
        <f t="shared" si="42"/>
        <v>1428.002614053056</v>
      </c>
      <c r="C142" s="286">
        <f t="shared" si="51"/>
        <v>1861.9684999999999</v>
      </c>
      <c r="D142" s="287">
        <f t="shared" si="43"/>
        <v>1753.1211050815468</v>
      </c>
      <c r="E142" s="287">
        <f t="shared" si="44"/>
        <v>703.87793614254679</v>
      </c>
      <c r="F142" s="288">
        <f t="shared" si="45"/>
        <v>28.636449143999997</v>
      </c>
      <c r="G142" s="285">
        <f t="shared" si="46"/>
        <v>11.999782162245326</v>
      </c>
      <c r="H142" s="286">
        <f t="shared" si="47"/>
        <v>28.427</v>
      </c>
      <c r="I142" s="287">
        <f t="shared" si="48"/>
        <v>23.789491005890419</v>
      </c>
      <c r="J142" s="287">
        <f t="shared" si="49"/>
        <v>6.2510990738764685</v>
      </c>
      <c r="K142" s="288">
        <f t="shared" si="50"/>
        <v>0.22059599999999999</v>
      </c>
      <c r="L142" s="285">
        <f t="shared" si="37"/>
        <v>599.83400738766215</v>
      </c>
      <c r="M142" s="286">
        <f t="shared" si="38"/>
        <v>1150.0999999999999</v>
      </c>
      <c r="N142" s="287">
        <f t="shared" si="39"/>
        <v>1021.962492554563</v>
      </c>
      <c r="O142" s="287">
        <f t="shared" si="40"/>
        <v>311.46044858643808</v>
      </c>
      <c r="P142" s="287">
        <f t="shared" si="41"/>
        <v>11.0298</v>
      </c>
    </row>
    <row r="143" spans="1:16" x14ac:dyDescent="0.3">
      <c r="A143" s="276">
        <f t="shared" si="52"/>
        <v>132</v>
      </c>
      <c r="B143" s="285">
        <f t="shared" si="42"/>
        <v>1440.0024050449138</v>
      </c>
      <c r="C143" s="286">
        <f t="shared" si="51"/>
        <v>1890.5039999999999</v>
      </c>
      <c r="D143" s="287">
        <f t="shared" si="43"/>
        <v>1776.9711837039479</v>
      </c>
      <c r="E143" s="287">
        <f t="shared" si="44"/>
        <v>710.12917533247924</v>
      </c>
      <c r="F143" s="288">
        <f t="shared" si="45"/>
        <v>28.857045143999997</v>
      </c>
      <c r="G143" s="285">
        <f t="shared" si="46"/>
        <v>11.999799579590517</v>
      </c>
      <c r="H143" s="286">
        <f t="shared" si="47"/>
        <v>28.643999999999998</v>
      </c>
      <c r="I143" s="287">
        <f t="shared" si="48"/>
        <v>23.910549544800762</v>
      </c>
      <c r="J143" s="287">
        <f t="shared" si="49"/>
        <v>6.2513768053765961</v>
      </c>
      <c r="K143" s="288">
        <f t="shared" si="50"/>
        <v>0.22059599999999999</v>
      </c>
      <c r="L143" s="285">
        <f t="shared" si="37"/>
        <v>599.84727942414884</v>
      </c>
      <c r="M143" s="286">
        <f t="shared" si="38"/>
        <v>1160.95</v>
      </c>
      <c r="N143" s="287">
        <f t="shared" si="39"/>
        <v>1028.9814609772036</v>
      </c>
      <c r="O143" s="287">
        <f t="shared" si="40"/>
        <v>311.53189675921368</v>
      </c>
      <c r="P143" s="287">
        <f t="shared" si="41"/>
        <v>11.0298</v>
      </c>
    </row>
    <row r="144" spans="1:16" x14ac:dyDescent="0.3">
      <c r="A144" s="276">
        <f t="shared" si="52"/>
        <v>133</v>
      </c>
      <c r="B144" s="285">
        <f t="shared" si="42"/>
        <v>1452.0022127481398</v>
      </c>
      <c r="C144" s="286">
        <f t="shared" si="51"/>
        <v>1919.2565</v>
      </c>
      <c r="D144" s="287">
        <f t="shared" si="43"/>
        <v>1800.9419714566779</v>
      </c>
      <c r="E144" s="287">
        <f t="shared" si="44"/>
        <v>716.38068488500721</v>
      </c>
      <c r="F144" s="288">
        <f t="shared" si="45"/>
        <v>29.077641143999998</v>
      </c>
      <c r="G144" s="285">
        <f t="shared" si="46"/>
        <v>11.999815604321677</v>
      </c>
      <c r="H144" s="286">
        <f t="shared" si="47"/>
        <v>28.861000000000001</v>
      </c>
      <c r="I144" s="287">
        <f t="shared" si="48"/>
        <v>24.030909939521816</v>
      </c>
      <c r="J144" s="287">
        <f t="shared" si="49"/>
        <v>6.2516399305776851</v>
      </c>
      <c r="K144" s="288">
        <f t="shared" si="50"/>
        <v>0.22059599999999999</v>
      </c>
      <c r="L144" s="285">
        <f t="shared" si="37"/>
        <v>599.85949028718915</v>
      </c>
      <c r="M144" s="286">
        <f t="shared" si="38"/>
        <v>1171.8</v>
      </c>
      <c r="N144" s="287">
        <f t="shared" si="39"/>
        <v>1035.9599510324099</v>
      </c>
      <c r="O144" s="287">
        <f t="shared" si="40"/>
        <v>311.59958736982276</v>
      </c>
      <c r="P144" s="287">
        <f t="shared" si="41"/>
        <v>11.0298</v>
      </c>
    </row>
    <row r="145" spans="1:16" x14ac:dyDescent="0.3">
      <c r="A145" s="276">
        <f t="shared" si="52"/>
        <v>134</v>
      </c>
      <c r="B145" s="285">
        <f t="shared" si="42"/>
        <v>1464.002035826567</v>
      </c>
      <c r="C145" s="286">
        <f t="shared" si="51"/>
        <v>1948.2259999999999</v>
      </c>
      <c r="D145" s="287">
        <f t="shared" si="43"/>
        <v>1825.0327722105853</v>
      </c>
      <c r="E145" s="287">
        <f t="shared" si="44"/>
        <v>722.6324505813725</v>
      </c>
      <c r="F145" s="288">
        <f t="shared" si="45"/>
        <v>29.298237143999994</v>
      </c>
      <c r="G145" s="285">
        <f t="shared" si="46"/>
        <v>11.999830347786077</v>
      </c>
      <c r="H145" s="286">
        <f t="shared" si="47"/>
        <v>29.077999999999999</v>
      </c>
      <c r="I145" s="287">
        <f t="shared" si="48"/>
        <v>24.150576216248783</v>
      </c>
      <c r="J145" s="287">
        <f t="shared" si="49"/>
        <v>6.251889217646009</v>
      </c>
      <c r="K145" s="288">
        <f t="shared" si="50"/>
        <v>0.22059599999999999</v>
      </c>
      <c r="L145" s="285">
        <f t="shared" si="37"/>
        <v>599.87072482352721</v>
      </c>
      <c r="M145" s="286">
        <f t="shared" si="38"/>
        <v>1182.6500000000001</v>
      </c>
      <c r="N145" s="287">
        <f t="shared" si="39"/>
        <v>1042.8981961587913</v>
      </c>
      <c r="O145" s="287">
        <f t="shared" si="40"/>
        <v>311.66371803386386</v>
      </c>
      <c r="P145" s="287">
        <f t="shared" si="41"/>
        <v>11.0298</v>
      </c>
    </row>
    <row r="146" spans="1:16" x14ac:dyDescent="0.3">
      <c r="A146" s="276">
        <f t="shared" si="52"/>
        <v>135</v>
      </c>
      <c r="B146" s="285">
        <f t="shared" si="42"/>
        <v>1476.0018730508623</v>
      </c>
      <c r="C146" s="286">
        <f t="shared" si="51"/>
        <v>1977.4124999999999</v>
      </c>
      <c r="D146" s="287">
        <f t="shared" si="43"/>
        <v>1849.2428938510925</v>
      </c>
      <c r="E146" s="287">
        <f t="shared" si="44"/>
        <v>728.88445895060249</v>
      </c>
      <c r="F146" s="288">
        <f t="shared" si="45"/>
        <v>29.518833143999995</v>
      </c>
      <c r="G146" s="285">
        <f t="shared" si="46"/>
        <v>11.999843912428151</v>
      </c>
      <c r="H146" s="286">
        <f t="shared" si="47"/>
        <v>29.294999999999998</v>
      </c>
      <c r="I146" s="287">
        <f t="shared" si="48"/>
        <v>24.269552377957819</v>
      </c>
      <c r="J146" s="287">
        <f t="shared" si="49"/>
        <v>6.252125394348873</v>
      </c>
      <c r="K146" s="288">
        <f t="shared" si="50"/>
        <v>0.22059599999999999</v>
      </c>
      <c r="L146" s="285">
        <f t="shared" si="37"/>
        <v>599.88106109593605</v>
      </c>
      <c r="M146" s="286">
        <f t="shared" si="38"/>
        <v>1193.5</v>
      </c>
      <c r="N146" s="287">
        <f t="shared" si="39"/>
        <v>1049.796428448718</v>
      </c>
      <c r="O146" s="287">
        <f t="shared" si="40"/>
        <v>311.7244759740471</v>
      </c>
      <c r="P146" s="287">
        <f t="shared" si="41"/>
        <v>11.0298</v>
      </c>
    </row>
    <row r="147" spans="1:16" x14ac:dyDescent="0.3">
      <c r="A147" s="276">
        <f t="shared" si="52"/>
        <v>136</v>
      </c>
      <c r="B147" s="285">
        <f t="shared" si="42"/>
        <v>1488.0017232899841</v>
      </c>
      <c r="C147" s="286">
        <f t="shared" si="51"/>
        <v>2006.816</v>
      </c>
      <c r="D147" s="287">
        <f t="shared" si="43"/>
        <v>1873.5716482550474</v>
      </c>
      <c r="E147" s="287">
        <f t="shared" si="44"/>
        <v>735.13669723018211</v>
      </c>
      <c r="F147" s="288">
        <f t="shared" si="45"/>
        <v>29.739429143999995</v>
      </c>
      <c r="G147" s="285">
        <f t="shared" si="46"/>
        <v>11.999856392501327</v>
      </c>
      <c r="H147" s="286">
        <f t="shared" si="47"/>
        <v>29.512</v>
      </c>
      <c r="I147" s="287">
        <f t="shared" si="48"/>
        <v>24.387842404539924</v>
      </c>
      <c r="J147" s="287">
        <f t="shared" si="49"/>
        <v>6.2523491501792519</v>
      </c>
      <c r="K147" s="288">
        <f t="shared" si="50"/>
        <v>0.22059599999999999</v>
      </c>
      <c r="L147" s="285">
        <f t="shared" si="37"/>
        <v>599.89057092563382</v>
      </c>
      <c r="M147" s="286">
        <f t="shared" si="38"/>
        <v>1204.3499999999999</v>
      </c>
      <c r="N147" s="287">
        <f t="shared" si="39"/>
        <v>1056.6548786560843</v>
      </c>
      <c r="O147" s="287">
        <f t="shared" si="40"/>
        <v>311.78203856677106</v>
      </c>
      <c r="P147" s="287">
        <f t="shared" si="41"/>
        <v>11.0298</v>
      </c>
    </row>
    <row r="148" spans="1:16" x14ac:dyDescent="0.3">
      <c r="A148" s="276">
        <f t="shared" si="52"/>
        <v>137</v>
      </c>
      <c r="B148" s="285">
        <f t="shared" si="42"/>
        <v>1500.0015855033246</v>
      </c>
      <c r="C148" s="286">
        <f t="shared" si="51"/>
        <v>2036.4365</v>
      </c>
      <c r="D148" s="287">
        <f t="shared" si="43"/>
        <v>1898.0183512676963</v>
      </c>
      <c r="E148" s="287">
        <f t="shared" si="44"/>
        <v>741.3891533287956</v>
      </c>
      <c r="F148" s="288">
        <f t="shared" si="45"/>
        <v>29.960025143999999</v>
      </c>
      <c r="G148" s="285">
        <f t="shared" si="46"/>
        <v>11.999867874722948</v>
      </c>
      <c r="H148" s="286">
        <f t="shared" si="47"/>
        <v>29.728999999999999</v>
      </c>
      <c r="I148" s="287">
        <f t="shared" si="48"/>
        <v>24.505450252934086</v>
      </c>
      <c r="J148" s="287">
        <f t="shared" si="49"/>
        <v>6.2525611383686943</v>
      </c>
      <c r="K148" s="288">
        <f t="shared" si="50"/>
        <v>0.22059599999999999</v>
      </c>
      <c r="L148" s="285">
        <f t="shared" si="37"/>
        <v>599.89932039133134</v>
      </c>
      <c r="M148" s="286">
        <f t="shared" si="38"/>
        <v>1215.2</v>
      </c>
      <c r="N148" s="287">
        <f t="shared" si="39"/>
        <v>1063.4737762040272</v>
      </c>
      <c r="O148" s="287">
        <f t="shared" si="40"/>
        <v>311.83657385995417</v>
      </c>
      <c r="P148" s="287">
        <f t="shared" si="41"/>
        <v>11.0298</v>
      </c>
    </row>
    <row r="149" spans="1:16" x14ac:dyDescent="0.3">
      <c r="A149" s="276">
        <f t="shared" si="52"/>
        <v>138</v>
      </c>
      <c r="B149" s="285">
        <f t="shared" si="42"/>
        <v>1512.0014587334781</v>
      </c>
      <c r="C149" s="286">
        <f t="shared" si="51"/>
        <v>2066.2739999999999</v>
      </c>
      <c r="D149" s="287">
        <f t="shared" si="43"/>
        <v>1922.5823226798107</v>
      </c>
      <c r="E149" s="287">
        <f t="shared" si="44"/>
        <v>747.64181579102649</v>
      </c>
      <c r="F149" s="288">
        <f t="shared" si="45"/>
        <v>30.180621144</v>
      </c>
      <c r="G149" s="285">
        <f t="shared" si="46"/>
        <v>11.999878438876816</v>
      </c>
      <c r="H149" s="286">
        <f t="shared" si="47"/>
        <v>29.946000000000002</v>
      </c>
      <c r="I149" s="287">
        <f t="shared" si="48"/>
        <v>24.622379857259627</v>
      </c>
      <c r="J149" s="287">
        <f t="shared" si="49"/>
        <v>6.2527619777943615</v>
      </c>
      <c r="K149" s="288">
        <f t="shared" si="50"/>
        <v>0.22059599999999999</v>
      </c>
      <c r="L149" s="285">
        <f t="shared" si="37"/>
        <v>599.90737028837725</v>
      </c>
      <c r="M149" s="286">
        <f t="shared" si="38"/>
        <v>1226.05</v>
      </c>
      <c r="N149" s="287">
        <f t="shared" si="39"/>
        <v>1070.2533491926013</v>
      </c>
      <c r="O149" s="287">
        <f t="shared" si="40"/>
        <v>311.88824106363353</v>
      </c>
      <c r="P149" s="287">
        <f t="shared" si="41"/>
        <v>11.0298</v>
      </c>
    </row>
    <row r="150" spans="1:16" x14ac:dyDescent="0.3">
      <c r="A150" s="276">
        <f t="shared" si="52"/>
        <v>139</v>
      </c>
      <c r="B150" s="285">
        <f t="shared" si="42"/>
        <v>1524.001342099589</v>
      </c>
      <c r="C150" s="286">
        <f t="shared" si="51"/>
        <v>2096.3285000000001</v>
      </c>
      <c r="D150" s="287">
        <f t="shared" si="43"/>
        <v>1947.2628862049212</v>
      </c>
      <c r="E150" s="287">
        <f t="shared" si="44"/>
        <v>753.89467376391542</v>
      </c>
      <c r="F150" s="288">
        <f t="shared" si="45"/>
        <v>30.401217143999997</v>
      </c>
      <c r="G150" s="285">
        <f t="shared" si="46"/>
        <v>11.999888158367579</v>
      </c>
      <c r="H150" s="286">
        <f t="shared" si="47"/>
        <v>30.163</v>
      </c>
      <c r="I150" s="287">
        <f t="shared" si="48"/>
        <v>24.738635128947827</v>
      </c>
      <c r="J150" s="287">
        <f t="shared" si="49"/>
        <v>6.252952254785777</v>
      </c>
      <c r="K150" s="288">
        <f t="shared" si="50"/>
        <v>0.22059599999999999</v>
      </c>
      <c r="L150" s="285">
        <f t="shared" si="37"/>
        <v>599.91477655119286</v>
      </c>
      <c r="M150" s="286">
        <f t="shared" si="38"/>
        <v>1236.9000000000001</v>
      </c>
      <c r="N150" s="287">
        <f t="shared" si="39"/>
        <v>1076.9938244064092</v>
      </c>
      <c r="O150" s="287">
        <f t="shared" si="40"/>
        <v>311.93719101476097</v>
      </c>
      <c r="P150" s="287">
        <f t="shared" si="41"/>
        <v>11.0298</v>
      </c>
    </row>
    <row r="151" spans="1:16" x14ac:dyDescent="0.3">
      <c r="A151" s="276">
        <f t="shared" si="52"/>
        <v>140</v>
      </c>
      <c r="B151" s="285">
        <f t="shared" si="42"/>
        <v>1536.0012347912307</v>
      </c>
      <c r="C151" s="286">
        <f t="shared" si="51"/>
        <v>2126.6</v>
      </c>
      <c r="D151" s="287">
        <f t="shared" si="43"/>
        <v>1972.059369456701</v>
      </c>
      <c r="E151" s="287">
        <f t="shared" si="44"/>
        <v>760.14771696527555</v>
      </c>
      <c r="F151" s="288">
        <f t="shared" si="45"/>
        <v>30.621813143999997</v>
      </c>
      <c r="G151" s="285">
        <f t="shared" si="46"/>
        <v>11.999897100730768</v>
      </c>
      <c r="H151" s="286">
        <f t="shared" si="47"/>
        <v>30.38</v>
      </c>
      <c r="I151" s="287">
        <f t="shared" si="48"/>
        <v>24.854219956872754</v>
      </c>
      <c r="J151" s="287">
        <f t="shared" si="49"/>
        <v>6.2531325248365466</v>
      </c>
      <c r="K151" s="288">
        <f t="shared" si="50"/>
        <v>0.22059599999999999</v>
      </c>
      <c r="L151" s="285">
        <f t="shared" si="37"/>
        <v>599.92159064192947</v>
      </c>
      <c r="M151" s="286">
        <f t="shared" si="38"/>
        <v>1247.75</v>
      </c>
      <c r="N151" s="287">
        <f t="shared" si="39"/>
        <v>1083.6954273221872</v>
      </c>
      <c r="O151" s="287">
        <f t="shared" si="40"/>
        <v>311.98356661755633</v>
      </c>
      <c r="P151" s="287">
        <f t="shared" si="41"/>
        <v>11.0298</v>
      </c>
    </row>
    <row r="152" spans="1:16" x14ac:dyDescent="0.3">
      <c r="A152" s="276">
        <f t="shared" si="52"/>
        <v>141</v>
      </c>
      <c r="B152" s="285">
        <f t="shared" si="42"/>
        <v>1548.001136062775</v>
      </c>
      <c r="C152" s="286">
        <f t="shared" si="51"/>
        <v>2157.0885000000003</v>
      </c>
      <c r="D152" s="287">
        <f t="shared" si="43"/>
        <v>1996.9711039264755</v>
      </c>
      <c r="E152" s="287">
        <f t="shared" si="44"/>
        <v>766.40093565367556</v>
      </c>
      <c r="F152" s="288">
        <f t="shared" si="45"/>
        <v>30.842409143999998</v>
      </c>
      <c r="G152" s="285">
        <f t="shared" si="46"/>
        <v>11.999905328102074</v>
      </c>
      <c r="H152" s="286">
        <f t="shared" si="47"/>
        <v>30.597000000000001</v>
      </c>
      <c r="I152" s="287">
        <f t="shared" si="48"/>
        <v>24.969138207481347</v>
      </c>
      <c r="J152" s="287">
        <f t="shared" si="49"/>
        <v>6.2533033142260734</v>
      </c>
      <c r="K152" s="288">
        <f t="shared" si="50"/>
        <v>0.22059599999999999</v>
      </c>
      <c r="L152" s="285">
        <f t="shared" si="37"/>
        <v>599.9278599080526</v>
      </c>
      <c r="M152" s="286">
        <f t="shared" si="38"/>
        <v>1258.5999999999999</v>
      </c>
      <c r="N152" s="287">
        <f t="shared" si="39"/>
        <v>1090.3583821163481</v>
      </c>
      <c r="O152" s="287">
        <f t="shared" si="40"/>
        <v>312.02750326070105</v>
      </c>
      <c r="P152" s="287">
        <f t="shared" si="41"/>
        <v>11.0298</v>
      </c>
    </row>
    <row r="153" spans="1:16" x14ac:dyDescent="0.3">
      <c r="A153" s="276">
        <f t="shared" si="52"/>
        <v>142</v>
      </c>
      <c r="B153" s="285">
        <f t="shared" si="42"/>
        <v>1560.0010452282108</v>
      </c>
      <c r="C153" s="286">
        <f t="shared" si="51"/>
        <v>2187.7939999999999</v>
      </c>
      <c r="D153" s="287">
        <f t="shared" si="43"/>
        <v>2021.9974249608536</v>
      </c>
      <c r="E153" s="287">
        <f t="shared" si="44"/>
        <v>772.6543205999991</v>
      </c>
      <c r="F153" s="288">
        <f t="shared" si="45"/>
        <v>31.063005143999995</v>
      </c>
      <c r="G153" s="285">
        <f t="shared" si="46"/>
        <v>11.999912897649091</v>
      </c>
      <c r="H153" s="286">
        <f t="shared" si="47"/>
        <v>30.814</v>
      </c>
      <c r="I153" s="287">
        <f t="shared" si="48"/>
        <v>25.083393724922761</v>
      </c>
      <c r="J153" s="287">
        <f t="shared" si="49"/>
        <v>6.2534651215559673</v>
      </c>
      <c r="K153" s="288">
        <f t="shared" si="50"/>
        <v>0.22059599999999999</v>
      </c>
      <c r="L153" s="285">
        <f t="shared" si="37"/>
        <v>599.93362791133291</v>
      </c>
      <c r="M153" s="286">
        <f t="shared" si="38"/>
        <v>1269.45</v>
      </c>
      <c r="N153" s="287">
        <f t="shared" si="39"/>
        <v>1096.9829116724804</v>
      </c>
      <c r="O153" s="287">
        <f t="shared" si="40"/>
        <v>312.06912921259084</v>
      </c>
      <c r="P153" s="287">
        <f t="shared" si="41"/>
        <v>11.0298</v>
      </c>
    </row>
    <row r="154" spans="1:16" x14ac:dyDescent="0.3">
      <c r="A154" s="276">
        <f t="shared" si="52"/>
        <v>143</v>
      </c>
      <c r="B154" s="285">
        <f t="shared" si="42"/>
        <v>1572.0009616563775</v>
      </c>
      <c r="C154" s="286">
        <f t="shared" si="51"/>
        <v>2218.7165</v>
      </c>
      <c r="D154" s="287">
        <f t="shared" si="43"/>
        <v>2047.1376717395033</v>
      </c>
      <c r="E154" s="287">
        <f t="shared" si="44"/>
        <v>778.90786306050325</v>
      </c>
      <c r="F154" s="288">
        <f t="shared" si="45"/>
        <v>31.283601143999995</v>
      </c>
      <c r="G154" s="285">
        <f t="shared" si="46"/>
        <v>11.999919861968545</v>
      </c>
      <c r="H154" s="286">
        <f t="shared" si="47"/>
        <v>31.030999999999999</v>
      </c>
      <c r="I154" s="287">
        <f t="shared" si="48"/>
        <v>25.196990331176963</v>
      </c>
      <c r="J154" s="287">
        <f t="shared" si="49"/>
        <v>6.2536184192056625</v>
      </c>
      <c r="K154" s="288">
        <f t="shared" si="50"/>
        <v>0.22059599999999999</v>
      </c>
      <c r="L154" s="285">
        <f t="shared" si="37"/>
        <v>599.93893473053458</v>
      </c>
      <c r="M154" s="286">
        <f t="shared" si="38"/>
        <v>1280.3</v>
      </c>
      <c r="N154" s="287">
        <f t="shared" si="39"/>
        <v>1103.5692375888032</v>
      </c>
      <c r="O154" s="287">
        <f t="shared" si="40"/>
        <v>312.10856599580228</v>
      </c>
      <c r="P154" s="287">
        <f t="shared" si="41"/>
        <v>11.0298</v>
      </c>
    </row>
    <row r="155" spans="1:16" x14ac:dyDescent="0.3">
      <c r="A155" s="276">
        <f t="shared" si="52"/>
        <v>144</v>
      </c>
      <c r="B155" s="285">
        <f t="shared" si="42"/>
        <v>1584.0008847665788</v>
      </c>
      <c r="C155" s="286">
        <f t="shared" si="51"/>
        <v>2249.8560000000002</v>
      </c>
      <c r="D155" s="287">
        <f t="shared" si="43"/>
        <v>2072.3911872530362</v>
      </c>
      <c r="E155" s="287">
        <f t="shared" si="44"/>
        <v>785.16155475129062</v>
      </c>
      <c r="F155" s="288">
        <f t="shared" si="45"/>
        <v>31.504197143999995</v>
      </c>
      <c r="G155" s="285">
        <f t="shared" si="46"/>
        <v>11.999926269451759</v>
      </c>
      <c r="H155" s="286">
        <f t="shared" si="47"/>
        <v>31.248000000000001</v>
      </c>
      <c r="I155" s="287">
        <f t="shared" si="48"/>
        <v>25.309931826182556</v>
      </c>
      <c r="J155" s="287">
        <f t="shared" si="49"/>
        <v>6.2537636547114808</v>
      </c>
      <c r="K155" s="288">
        <f t="shared" si="50"/>
        <v>0.22059599999999999</v>
      </c>
      <c r="L155" s="285">
        <f t="shared" si="37"/>
        <v>599.94381723990045</v>
      </c>
      <c r="M155" s="286">
        <f t="shared" si="38"/>
        <v>1291.1500000000001</v>
      </c>
      <c r="N155" s="287">
        <f t="shared" si="39"/>
        <v>1110.1175801855793</v>
      </c>
      <c r="O155" s="287">
        <f t="shared" si="40"/>
        <v>312.14592874186468</v>
      </c>
      <c r="P155" s="287">
        <f t="shared" si="41"/>
        <v>11.0298</v>
      </c>
    </row>
    <row r="156" spans="1:16" x14ac:dyDescent="0.3">
      <c r="A156" s="276">
        <f t="shared" si="52"/>
        <v>145</v>
      </c>
      <c r="B156" s="285">
        <f t="shared" si="42"/>
        <v>1596.0008140245491</v>
      </c>
      <c r="C156" s="286">
        <f t="shared" si="51"/>
        <v>2281.2125000000001</v>
      </c>
      <c r="D156" s="287">
        <f t="shared" si="43"/>
        <v>2097.7573182810356</v>
      </c>
      <c r="E156" s="287">
        <f t="shared" si="44"/>
        <v>791.4153878241259</v>
      </c>
      <c r="F156" s="288">
        <f t="shared" si="45"/>
        <v>31.724793144</v>
      </c>
      <c r="G156" s="285">
        <f t="shared" si="46"/>
        <v>11.999932164620905</v>
      </c>
      <c r="H156" s="286">
        <f t="shared" si="47"/>
        <v>31.465</v>
      </c>
      <c r="I156" s="287">
        <f t="shared" si="48"/>
        <v>25.42222198796393</v>
      </c>
      <c r="J156" s="287">
        <f t="shared" si="49"/>
        <v>6.2539012520731614</v>
      </c>
      <c r="K156" s="288">
        <f t="shared" si="50"/>
        <v>0.22059599999999999</v>
      </c>
      <c r="L156" s="285">
        <f t="shared" si="37"/>
        <v>599.94830936537198</v>
      </c>
      <c r="M156" s="286">
        <f t="shared" si="38"/>
        <v>1302</v>
      </c>
      <c r="N156" s="287">
        <f t="shared" si="39"/>
        <v>1116.6281585124859</v>
      </c>
      <c r="O156" s="287">
        <f t="shared" si="40"/>
        <v>312.18132652737467</v>
      </c>
      <c r="P156" s="287">
        <f t="shared" si="41"/>
        <v>11.0298</v>
      </c>
    </row>
    <row r="157" spans="1:16" x14ac:dyDescent="0.3">
      <c r="A157" s="276">
        <f t="shared" si="52"/>
        <v>146</v>
      </c>
      <c r="B157" s="285">
        <f t="shared" si="42"/>
        <v>1608.0007489387399</v>
      </c>
      <c r="C157" s="286">
        <f t="shared" si="51"/>
        <v>2312.7860000000001</v>
      </c>
      <c r="D157" s="287">
        <f t="shared" si="43"/>
        <v>2123.2354153702086</v>
      </c>
      <c r="E157" s="287">
        <f t="shared" si="44"/>
        <v>797.66935484352382</v>
      </c>
      <c r="F157" s="288">
        <f t="shared" si="45"/>
        <v>31.945389144</v>
      </c>
      <c r="G157" s="285">
        <f t="shared" si="46"/>
        <v>11.99993758843835</v>
      </c>
      <c r="H157" s="286">
        <f t="shared" si="47"/>
        <v>31.681999999999999</v>
      </c>
      <c r="I157" s="287">
        <f t="shared" si="48"/>
        <v>25.533864572757615</v>
      </c>
      <c r="J157" s="287">
        <f t="shared" si="49"/>
        <v>6.2540316129916933</v>
      </c>
      <c r="K157" s="288">
        <f t="shared" si="50"/>
        <v>0.22059599999999999</v>
      </c>
      <c r="L157" s="285">
        <f t="shared" si="37"/>
        <v>599.95244232032189</v>
      </c>
      <c r="M157" s="286">
        <f t="shared" si="38"/>
        <v>1312.85</v>
      </c>
      <c r="N157" s="287">
        <f t="shared" si="39"/>
        <v>1123.1011903559411</v>
      </c>
      <c r="O157" s="287">
        <f t="shared" si="40"/>
        <v>312.21486269243388</v>
      </c>
      <c r="P157" s="287">
        <f t="shared" si="41"/>
        <v>11.0298</v>
      </c>
    </row>
    <row r="158" spans="1:16" x14ac:dyDescent="0.3">
      <c r="A158" s="276">
        <f t="shared" si="52"/>
        <v>147</v>
      </c>
      <c r="B158" s="285">
        <f t="shared" si="42"/>
        <v>1620.0006890569045</v>
      </c>
      <c r="C158" s="286">
        <f t="shared" si="51"/>
        <v>2344.5765000000001</v>
      </c>
      <c r="D158" s="287">
        <f t="shared" si="43"/>
        <v>2148.8248328126519</v>
      </c>
      <c r="E158" s="287">
        <f t="shared" si="44"/>
        <v>803.92344876504217</v>
      </c>
      <c r="F158" s="288">
        <f t="shared" si="45"/>
        <v>32.165985143999997</v>
      </c>
      <c r="G158" s="285">
        <f t="shared" si="46"/>
        <v>11.999942578591295</v>
      </c>
      <c r="H158" s="286">
        <f t="shared" si="47"/>
        <v>31.899000000000001</v>
      </c>
      <c r="I158" s="287">
        <f t="shared" si="48"/>
        <v>25.644863315137925</v>
      </c>
      <c r="J158" s="287">
        <f t="shared" si="49"/>
        <v>6.2541551180420276</v>
      </c>
      <c r="K158" s="288">
        <f t="shared" si="50"/>
        <v>0.22059599999999999</v>
      </c>
      <c r="L158" s="285">
        <f t="shared" si="37"/>
        <v>599.95624482243943</v>
      </c>
      <c r="M158" s="286">
        <f t="shared" si="38"/>
        <v>1323.7</v>
      </c>
      <c r="N158" s="287">
        <f t="shared" si="39"/>
        <v>1129.5368922463895</v>
      </c>
      <c r="O158" s="287">
        <f t="shared" si="40"/>
        <v>312.24663514233919</v>
      </c>
      <c r="P158" s="287">
        <f t="shared" si="41"/>
        <v>11.0298</v>
      </c>
    </row>
    <row r="159" spans="1:16" x14ac:dyDescent="0.3">
      <c r="A159" s="276">
        <f t="shared" si="52"/>
        <v>148</v>
      </c>
      <c r="B159" s="285">
        <f t="shared" si="42"/>
        <v>1632.0006339629563</v>
      </c>
      <c r="C159" s="286">
        <f t="shared" si="51"/>
        <v>2376.5839999999998</v>
      </c>
      <c r="D159" s="287">
        <f t="shared" si="43"/>
        <v>2174.5249286242629</v>
      </c>
      <c r="E159" s="287">
        <f t="shared" si="44"/>
        <v>810.17766291471571</v>
      </c>
      <c r="F159" s="288">
        <f t="shared" si="45"/>
        <v>32.386581143999997</v>
      </c>
      <c r="G159" s="285">
        <f t="shared" si="46"/>
        <v>11.999947169753639</v>
      </c>
      <c r="H159" s="286">
        <f t="shared" si="47"/>
        <v>32.116</v>
      </c>
      <c r="I159" s="287">
        <f t="shared" si="48"/>
        <v>25.755221928141914</v>
      </c>
      <c r="J159" s="287">
        <f t="shared" si="49"/>
        <v>6.2542721277841338</v>
      </c>
      <c r="K159" s="288">
        <f t="shared" si="50"/>
        <v>0.22059599999999999</v>
      </c>
      <c r="L159" s="285">
        <f t="shared" si="37"/>
        <v>599.9597432932743</v>
      </c>
      <c r="M159" s="286">
        <f t="shared" si="38"/>
        <v>1334.55</v>
      </c>
      <c r="N159" s="287">
        <f t="shared" si="39"/>
        <v>1135.9354794655451</v>
      </c>
      <c r="O159" s="287">
        <f t="shared" si="40"/>
        <v>312.27673663340727</v>
      </c>
      <c r="P159" s="287">
        <f t="shared" si="41"/>
        <v>11.0298</v>
      </c>
    </row>
    <row r="160" spans="1:16" x14ac:dyDescent="0.3">
      <c r="A160" s="276">
        <f t="shared" si="52"/>
        <v>149</v>
      </c>
      <c r="B160" s="285">
        <f t="shared" si="42"/>
        <v>1644.0005832740771</v>
      </c>
      <c r="C160" s="286">
        <f t="shared" si="51"/>
        <v>2408.8085000000001</v>
      </c>
      <c r="D160" s="287">
        <f t="shared" si="43"/>
        <v>2200.3350645232558</v>
      </c>
      <c r="E160" s="287">
        <f t="shared" si="44"/>
        <v>816.43199096957312</v>
      </c>
      <c r="F160" s="288">
        <f t="shared" si="45"/>
        <v>32.607177143999998</v>
      </c>
      <c r="G160" s="285">
        <f t="shared" si="46"/>
        <v>11.999951393826914</v>
      </c>
      <c r="H160" s="286">
        <f t="shared" si="47"/>
        <v>32.332999999999998</v>
      </c>
      <c r="I160" s="287">
        <f t="shared" si="48"/>
        <v>25.864944103393547</v>
      </c>
      <c r="J160" s="287">
        <f t="shared" si="49"/>
        <v>6.2543829838156126</v>
      </c>
      <c r="K160" s="288">
        <f t="shared" si="50"/>
        <v>0.22059599999999999</v>
      </c>
      <c r="L160" s="285">
        <f t="shared" si="37"/>
        <v>599.96296204182556</v>
      </c>
      <c r="M160" s="286">
        <f t="shared" si="38"/>
        <v>1345.4</v>
      </c>
      <c r="N160" s="287">
        <f t="shared" si="39"/>
        <v>1142.2971660535934</v>
      </c>
      <c r="O160" s="287">
        <f t="shared" si="40"/>
        <v>312.30525504376658</v>
      </c>
      <c r="P160" s="287">
        <f t="shared" si="41"/>
        <v>11.0298</v>
      </c>
    </row>
    <row r="161" spans="1:16" x14ac:dyDescent="0.3">
      <c r="A161" s="276">
        <f t="shared" si="52"/>
        <v>150</v>
      </c>
      <c r="B161" s="285">
        <f t="shared" si="42"/>
        <v>1656.0005366380567</v>
      </c>
      <c r="C161" s="286">
        <f t="shared" si="51"/>
        <v>2441.25</v>
      </c>
      <c r="D161" s="287">
        <f t="shared" si="43"/>
        <v>2226.2546059088131</v>
      </c>
      <c r="E161" s="287">
        <f t="shared" si="44"/>
        <v>822.68642693917684</v>
      </c>
      <c r="F161" s="288">
        <f t="shared" si="45"/>
        <v>32.827773143999991</v>
      </c>
      <c r="G161" s="285">
        <f t="shared" si="46"/>
        <v>11.999955280161934</v>
      </c>
      <c r="H161" s="286">
        <f t="shared" si="47"/>
        <v>32.549999999999997</v>
      </c>
      <c r="I161" s="287">
        <f t="shared" si="48"/>
        <v>25.974033511227226</v>
      </c>
      <c r="J161" s="287">
        <f t="shared" si="49"/>
        <v>6.2544880097689584</v>
      </c>
      <c r="K161" s="288">
        <f t="shared" si="50"/>
        <v>0.22059599999999999</v>
      </c>
      <c r="L161" s="285">
        <f t="shared" si="37"/>
        <v>599.96592343345242</v>
      </c>
      <c r="M161" s="286">
        <f t="shared" si="38"/>
        <v>1356.25</v>
      </c>
      <c r="N161" s="287">
        <f t="shared" si="39"/>
        <v>1148.6221648163505</v>
      </c>
      <c r="O161" s="287">
        <f t="shared" si="40"/>
        <v>312.33227362990851</v>
      </c>
      <c r="P161" s="287">
        <f t="shared" si="41"/>
        <v>11.0298</v>
      </c>
    </row>
    <row r="162" spans="1:16" x14ac:dyDescent="0.3">
      <c r="A162" s="276">
        <f t="shared" si="52"/>
        <v>151</v>
      </c>
      <c r="B162" s="285">
        <f t="shared" si="42"/>
        <v>1668.0004937308468</v>
      </c>
      <c r="C162" s="286">
        <f t="shared" si="51"/>
        <v>2473.9085</v>
      </c>
      <c r="D162" s="287">
        <f t="shared" si="43"/>
        <v>2252.2829218398606</v>
      </c>
      <c r="E162" s="287">
        <f t="shared" si="44"/>
        <v>828.94096514813498</v>
      </c>
      <c r="F162" s="288">
        <f t="shared" si="45"/>
        <v>33.048369143999999</v>
      </c>
      <c r="G162" s="285">
        <f t="shared" si="46"/>
        <v>11.999958855762765</v>
      </c>
      <c r="H162" s="286">
        <f t="shared" si="47"/>
        <v>32.767000000000003</v>
      </c>
      <c r="I162" s="287">
        <f t="shared" si="48"/>
        <v>26.082493800810525</v>
      </c>
      <c r="J162" s="287">
        <f t="shared" si="49"/>
        <v>6.2545875122563634</v>
      </c>
      <c r="K162" s="288">
        <f t="shared" si="50"/>
        <v>0.22059599999999999</v>
      </c>
      <c r="L162" s="285">
        <f t="shared" si="37"/>
        <v>599.96864804527809</v>
      </c>
      <c r="M162" s="286">
        <f t="shared" si="38"/>
        <v>1367.1</v>
      </c>
      <c r="N162" s="287">
        <f t="shared" si="39"/>
        <v>1154.9106873323828</v>
      </c>
      <c r="O162" s="287">
        <f t="shared" si="40"/>
        <v>312.35787126974577</v>
      </c>
      <c r="P162" s="287">
        <f t="shared" si="41"/>
        <v>11.0298</v>
      </c>
    </row>
    <row r="163" spans="1:16" x14ac:dyDescent="0.3">
      <c r="A163" s="276">
        <f t="shared" si="52"/>
        <v>152</v>
      </c>
      <c r="B163" s="285">
        <f t="shared" si="42"/>
        <v>1680.0004542543079</v>
      </c>
      <c r="C163" s="286">
        <f t="shared" si="51"/>
        <v>2506.7840000000001</v>
      </c>
      <c r="D163" s="287">
        <f t="shared" si="43"/>
        <v>2278.4193850139573</v>
      </c>
      <c r="E163" s="287">
        <f t="shared" si="44"/>
        <v>835.19560021953293</v>
      </c>
      <c r="F163" s="288">
        <f t="shared" si="45"/>
        <v>33.268965143999999</v>
      </c>
      <c r="G163" s="285">
        <f t="shared" si="46"/>
        <v>11.999962145474338</v>
      </c>
      <c r="H163" s="286">
        <f t="shared" si="47"/>
        <v>32.984000000000002</v>
      </c>
      <c r="I163" s="287">
        <f t="shared" si="48"/>
        <v>26.190328600266295</v>
      </c>
      <c r="J163" s="287">
        <f t="shared" si="49"/>
        <v>6.2546817817648463</v>
      </c>
      <c r="K163" s="288">
        <f t="shared" si="50"/>
        <v>0.22059599999999999</v>
      </c>
      <c r="L163" s="285">
        <f t="shared" si="37"/>
        <v>599.97115480917046</v>
      </c>
      <c r="M163" s="286">
        <f t="shared" si="38"/>
        <v>1377.95</v>
      </c>
      <c r="N163" s="287">
        <f t="shared" si="39"/>
        <v>1161.1629439600822</v>
      </c>
      <c r="O163" s="287">
        <f t="shared" si="40"/>
        <v>312.38212269288817</v>
      </c>
      <c r="P163" s="287">
        <f t="shared" si="41"/>
        <v>11.0298</v>
      </c>
    </row>
    <row r="164" spans="1:16" x14ac:dyDescent="0.3">
      <c r="A164" s="276">
        <f t="shared" si="52"/>
        <v>153</v>
      </c>
      <c r="B164" s="285">
        <f t="shared" si="42"/>
        <v>1692.0004179341388</v>
      </c>
      <c r="C164" s="286">
        <f t="shared" si="51"/>
        <v>2539.8764999999999</v>
      </c>
      <c r="D164" s="287">
        <f t="shared" si="43"/>
        <v>2304.6633717463155</v>
      </c>
      <c r="E164" s="287">
        <f t="shared" si="44"/>
        <v>841.45032705923552</v>
      </c>
      <c r="F164" s="288">
        <f t="shared" si="45"/>
        <v>33.489561144</v>
      </c>
      <c r="G164" s="285">
        <f t="shared" si="46"/>
        <v>11.999965172155097</v>
      </c>
      <c r="H164" s="286">
        <f t="shared" si="47"/>
        <v>33.201000000000001</v>
      </c>
      <c r="I164" s="287">
        <f t="shared" si="48"/>
        <v>26.297541516794013</v>
      </c>
      <c r="J164" s="287">
        <f t="shared" si="49"/>
        <v>6.2547710935042957</v>
      </c>
      <c r="K164" s="288">
        <f t="shared" si="50"/>
        <v>0.22059599999999999</v>
      </c>
      <c r="L164" s="285">
        <f t="shared" si="37"/>
        <v>599.97346114328832</v>
      </c>
      <c r="M164" s="286">
        <f t="shared" si="38"/>
        <v>1388.8</v>
      </c>
      <c r="N164" s="287">
        <f t="shared" si="39"/>
        <v>1167.3791438447065</v>
      </c>
      <c r="O164" s="287">
        <f t="shared" si="40"/>
        <v>312.40509869880793</v>
      </c>
      <c r="P164" s="287">
        <f t="shared" si="41"/>
        <v>11.0298</v>
      </c>
    </row>
    <row r="165" spans="1:16" x14ac:dyDescent="0.3">
      <c r="A165" s="276">
        <f t="shared" si="52"/>
        <v>154</v>
      </c>
      <c r="B165" s="285">
        <f t="shared" si="42"/>
        <v>1704.0003845179701</v>
      </c>
      <c r="C165" s="286">
        <f t="shared" si="51"/>
        <v>2573.1860000000001</v>
      </c>
      <c r="D165" s="287">
        <f t="shared" si="43"/>
        <v>2331.0142619489316</v>
      </c>
      <c r="E165" s="287">
        <f t="shared" si="44"/>
        <v>847.70514084101615</v>
      </c>
      <c r="F165" s="288">
        <f t="shared" si="45"/>
        <v>33.710157144</v>
      </c>
      <c r="G165" s="285">
        <f t="shared" si="46"/>
        <v>11.999967956835823</v>
      </c>
      <c r="H165" s="286">
        <f t="shared" si="47"/>
        <v>33.417999999999999</v>
      </c>
      <c r="I165" s="287">
        <f t="shared" si="48"/>
        <v>26.404136136790445</v>
      </c>
      <c r="J165" s="287">
        <f t="shared" si="49"/>
        <v>6.2548557082109149</v>
      </c>
      <c r="K165" s="288">
        <f t="shared" si="50"/>
        <v>0.22059599999999999</v>
      </c>
      <c r="L165" s="285">
        <f t="shared" si="37"/>
        <v>599.97558307311181</v>
      </c>
      <c r="M165" s="286">
        <f t="shared" si="38"/>
        <v>1399.65</v>
      </c>
      <c r="N165" s="287">
        <f t="shared" si="39"/>
        <v>1173.5594949253718</v>
      </c>
      <c r="O165" s="287">
        <f t="shared" si="40"/>
        <v>312.42686636353113</v>
      </c>
      <c r="P165" s="287">
        <f t="shared" si="41"/>
        <v>11.0298</v>
      </c>
    </row>
    <row r="166" spans="1:16" x14ac:dyDescent="0.3">
      <c r="A166" s="276">
        <f t="shared" si="52"/>
        <v>155</v>
      </c>
      <c r="B166" s="285">
        <f t="shared" si="42"/>
        <v>1716.0003537736106</v>
      </c>
      <c r="C166" s="286">
        <f t="shared" si="51"/>
        <v>2606.7124999999996</v>
      </c>
      <c r="D166" s="287">
        <f t="shared" si="43"/>
        <v>2357.4714391098519</v>
      </c>
      <c r="E166" s="287">
        <f t="shared" si="44"/>
        <v>853.96003699246546</v>
      </c>
      <c r="F166" s="288">
        <f t="shared" si="45"/>
        <v>33.930753143999993</v>
      </c>
      <c r="G166" s="285">
        <f t="shared" si="46"/>
        <v>11.999970518865771</v>
      </c>
      <c r="H166" s="286">
        <f t="shared" si="47"/>
        <v>33.634999999999998</v>
      </c>
      <c r="I166" s="287">
        <f t="shared" si="48"/>
        <v>26.510116025969623</v>
      </c>
      <c r="J166" s="287">
        <f t="shared" si="49"/>
        <v>6.2549358729084155</v>
      </c>
      <c r="K166" s="288">
        <f t="shared" si="50"/>
        <v>0.22059599999999999</v>
      </c>
      <c r="L166" s="285">
        <f t="shared" si="37"/>
        <v>599.97753534279411</v>
      </c>
      <c r="M166" s="286">
        <f t="shared" si="38"/>
        <v>1410.5</v>
      </c>
      <c r="N166" s="287">
        <f t="shared" si="39"/>
        <v>1179.7042039420112</v>
      </c>
      <c r="O166" s="287">
        <f t="shared" si="40"/>
        <v>312.44748923545922</v>
      </c>
      <c r="P166" s="287">
        <f t="shared" si="41"/>
        <v>11.0298</v>
      </c>
    </row>
    <row r="167" spans="1:16" x14ac:dyDescent="0.3">
      <c r="A167" s="276">
        <f t="shared" si="52"/>
        <v>156</v>
      </c>
      <c r="B167" s="285">
        <f t="shared" si="42"/>
        <v>1728.0003254874346</v>
      </c>
      <c r="C167" s="286">
        <f t="shared" si="51"/>
        <v>2640.4559999999997</v>
      </c>
      <c r="D167" s="287">
        <f t="shared" si="43"/>
        <v>2384.0342902725415</v>
      </c>
      <c r="E167" s="287">
        <f t="shared" si="44"/>
        <v>860.21501118164406</v>
      </c>
      <c r="F167" s="288">
        <f t="shared" si="45"/>
        <v>34.151349143999994</v>
      </c>
      <c r="G167" s="285">
        <f t="shared" si="46"/>
        <v>11.999972876047117</v>
      </c>
      <c r="H167" s="286">
        <f t="shared" si="47"/>
        <v>33.851999999999997</v>
      </c>
      <c r="I167" s="287">
        <f t="shared" si="48"/>
        <v>26.615484729482116</v>
      </c>
      <c r="J167" s="287">
        <f t="shared" si="49"/>
        <v>6.2550118216291777</v>
      </c>
      <c r="K167" s="288">
        <f t="shared" si="50"/>
        <v>0.22059599999999999</v>
      </c>
      <c r="L167" s="285">
        <f t="shared" si="37"/>
        <v>599.97933151761117</v>
      </c>
      <c r="M167" s="286">
        <f t="shared" si="38"/>
        <v>1421.35</v>
      </c>
      <c r="N167" s="287">
        <f t="shared" si="39"/>
        <v>1185.8134764422889</v>
      </c>
      <c r="O167" s="287">
        <f t="shared" si="40"/>
        <v>312.46702752089175</v>
      </c>
      <c r="P167" s="287">
        <f t="shared" si="41"/>
        <v>11.0298</v>
      </c>
    </row>
    <row r="168" spans="1:16" x14ac:dyDescent="0.3">
      <c r="A168" s="276">
        <f t="shared" si="52"/>
        <v>157</v>
      </c>
      <c r="B168" s="285">
        <f t="shared" si="42"/>
        <v>1740.0002994628962</v>
      </c>
      <c r="C168" s="286">
        <f t="shared" si="51"/>
        <v>2674.4165000000003</v>
      </c>
      <c r="D168" s="287">
        <f t="shared" si="43"/>
        <v>2410.7022060153868</v>
      </c>
      <c r="E168" s="287">
        <f t="shared" si="44"/>
        <v>866.47005930443572</v>
      </c>
      <c r="F168" s="288">
        <f t="shared" si="45"/>
        <v>34.371945144000001</v>
      </c>
      <c r="G168" s="285">
        <f t="shared" si="46"/>
        <v>11.999975044758646</v>
      </c>
      <c r="H168" s="286">
        <f t="shared" si="47"/>
        <v>34.069000000000003</v>
      </c>
      <c r="I168" s="287">
        <f t="shared" si="48"/>
        <v>26.720245772033618</v>
      </c>
      <c r="J168" s="287">
        <f t="shared" si="49"/>
        <v>6.2550837760974813</v>
      </c>
      <c r="K168" s="288">
        <f t="shared" si="50"/>
        <v>0.22059599999999999</v>
      </c>
      <c r="L168" s="285">
        <f t="shared" si="37"/>
        <v>599.98098407821919</v>
      </c>
      <c r="M168" s="286">
        <f t="shared" si="38"/>
        <v>1432.2</v>
      </c>
      <c r="N168" s="287">
        <f t="shared" si="39"/>
        <v>1191.8875167884758</v>
      </c>
      <c r="O168" s="287">
        <f t="shared" si="40"/>
        <v>312.48553825979241</v>
      </c>
      <c r="P168" s="287">
        <f t="shared" si="41"/>
        <v>11.0298</v>
      </c>
    </row>
    <row r="169" spans="1:16" x14ac:dyDescent="0.3">
      <c r="A169" s="276">
        <f t="shared" si="52"/>
        <v>158</v>
      </c>
      <c r="B169" s="285">
        <f t="shared" si="42"/>
        <v>1752.0002755191651</v>
      </c>
      <c r="C169" s="286">
        <f t="shared" si="51"/>
        <v>2708.5940000000001</v>
      </c>
      <c r="D169" s="287">
        <f t="shared" si="43"/>
        <v>2437.4745804313065</v>
      </c>
      <c r="E169" s="287">
        <f t="shared" si="44"/>
        <v>872.72517747256552</v>
      </c>
      <c r="F169" s="288">
        <f t="shared" si="45"/>
        <v>34.592541143999995</v>
      </c>
      <c r="G169" s="285">
        <f t="shared" si="46"/>
        <v>11.999977040069577</v>
      </c>
      <c r="H169" s="286">
        <f t="shared" si="47"/>
        <v>34.286000000000001</v>
      </c>
      <c r="I169" s="287">
        <f t="shared" si="48"/>
        <v>26.824402658002853</v>
      </c>
      <c r="J169" s="287">
        <f t="shared" si="49"/>
        <v>6.2551519463768086</v>
      </c>
      <c r="K169" s="288">
        <f t="shared" si="50"/>
        <v>0.22059599999999999</v>
      </c>
      <c r="L169" s="285">
        <f t="shared" si="37"/>
        <v>599.98250450737658</v>
      </c>
      <c r="M169" s="286">
        <f t="shared" si="38"/>
        <v>1443.05</v>
      </c>
      <c r="N169" s="287">
        <f t="shared" si="39"/>
        <v>1197.926528164287</v>
      </c>
      <c r="O169" s="287">
        <f t="shared" si="40"/>
        <v>312.50307549231121</v>
      </c>
      <c r="P169" s="287">
        <f t="shared" si="41"/>
        <v>11.0298</v>
      </c>
    </row>
    <row r="170" spans="1:16" x14ac:dyDescent="0.3">
      <c r="A170" s="276">
        <f t="shared" si="52"/>
        <v>159</v>
      </c>
      <c r="B170" s="285">
        <f t="shared" si="42"/>
        <v>1764.000253489869</v>
      </c>
      <c r="C170" s="286">
        <f t="shared" si="51"/>
        <v>2742.9884999999999</v>
      </c>
      <c r="D170" s="287">
        <f t="shared" si="43"/>
        <v>2464.3508111074793</v>
      </c>
      <c r="E170" s="287">
        <f t="shared" si="44"/>
        <v>878.98036200224794</v>
      </c>
      <c r="F170" s="288">
        <f t="shared" si="45"/>
        <v>34.813137143999995</v>
      </c>
      <c r="G170" s="285">
        <f t="shared" si="46"/>
        <v>11.999978875844254</v>
      </c>
      <c r="H170" s="286">
        <f t="shared" si="47"/>
        <v>34.503</v>
      </c>
      <c r="I170" s="287">
        <f t="shared" si="48"/>
        <v>26.927958871558822</v>
      </c>
      <c r="J170" s="287">
        <f t="shared" si="49"/>
        <v>6.2552165314831001</v>
      </c>
      <c r="K170" s="288">
        <f t="shared" si="50"/>
        <v>0.22059599999999999</v>
      </c>
      <c r="L170" s="285">
        <f t="shared" si="37"/>
        <v>599.98390336973068</v>
      </c>
      <c r="M170" s="286">
        <f t="shared" si="38"/>
        <v>1453.9</v>
      </c>
      <c r="N170" s="287">
        <f t="shared" si="39"/>
        <v>1203.9307125816777</v>
      </c>
      <c r="O170" s="287">
        <f t="shared" si="40"/>
        <v>312.519690416549</v>
      </c>
      <c r="P170" s="287">
        <f t="shared" si="41"/>
        <v>11.0298</v>
      </c>
    </row>
    <row r="171" spans="1:16" x14ac:dyDescent="0.3">
      <c r="A171" s="276">
        <f t="shared" si="52"/>
        <v>160</v>
      </c>
      <c r="B171" s="285">
        <f t="shared" si="42"/>
        <v>1776.0002332219381</v>
      </c>
      <c r="C171" s="286">
        <f t="shared" si="51"/>
        <v>2777.6</v>
      </c>
      <c r="D171" s="287">
        <f t="shared" si="43"/>
        <v>2491.3302991052014</v>
      </c>
      <c r="E171" s="287">
        <f t="shared" si="44"/>
        <v>885.23560940343395</v>
      </c>
      <c r="F171" s="288">
        <f t="shared" si="45"/>
        <v>35.033733143999996</v>
      </c>
      <c r="G171" s="285">
        <f t="shared" si="46"/>
        <v>11.999980564838491</v>
      </c>
      <c r="H171" s="286">
        <f t="shared" si="47"/>
        <v>34.72</v>
      </c>
      <c r="I171" s="287">
        <f t="shared" si="48"/>
        <v>27.03091787677732</v>
      </c>
      <c r="J171" s="287">
        <f t="shared" si="49"/>
        <v>6.2552777199657621</v>
      </c>
      <c r="K171" s="288">
        <f t="shared" si="50"/>
        <v>0.22059599999999999</v>
      </c>
      <c r="L171" s="285">
        <f t="shared" si="37"/>
        <v>599.98519038522636</v>
      </c>
      <c r="M171" s="286">
        <f t="shared" si="38"/>
        <v>1464.75</v>
      </c>
      <c r="N171" s="287">
        <f t="shared" si="39"/>
        <v>1209.9002708876005</v>
      </c>
      <c r="O171" s="287">
        <f t="shared" si="40"/>
        <v>312.53543153802462</v>
      </c>
      <c r="P171" s="287">
        <f t="shared" si="41"/>
        <v>11.0298</v>
      </c>
    </row>
    <row r="172" spans="1:16" x14ac:dyDescent="0.3">
      <c r="A172" s="276">
        <f t="shared" si="52"/>
        <v>161</v>
      </c>
      <c r="B172" s="285">
        <f t="shared" si="42"/>
        <v>1788.0002145745416</v>
      </c>
      <c r="C172" s="286">
        <f t="shared" si="51"/>
        <v>2812.4285</v>
      </c>
      <c r="D172" s="287">
        <f t="shared" si="43"/>
        <v>2518.4124489398414</v>
      </c>
      <c r="E172" s="287">
        <f t="shared" si="44"/>
        <v>891.49091636962032</v>
      </c>
      <c r="F172" s="288">
        <f t="shared" si="45"/>
        <v>35.254329143999996</v>
      </c>
      <c r="G172" s="285">
        <f t="shared" si="46"/>
        <v>11.999982118788207</v>
      </c>
      <c r="H172" s="286">
        <f t="shared" si="47"/>
        <v>34.936999999999998</v>
      </c>
      <c r="I172" s="287">
        <f t="shared" si="48"/>
        <v>27.133283117756847</v>
      </c>
      <c r="J172" s="287">
        <f t="shared" si="49"/>
        <v>6.255335690458117</v>
      </c>
      <c r="K172" s="288">
        <f t="shared" si="50"/>
        <v>0.22059599999999999</v>
      </c>
      <c r="L172" s="285">
        <f t="shared" si="37"/>
        <v>599.98637449664466</v>
      </c>
      <c r="M172" s="286">
        <f t="shared" si="38"/>
        <v>1475.6</v>
      </c>
      <c r="N172" s="287">
        <f t="shared" si="39"/>
        <v>1215.8354027707251</v>
      </c>
      <c r="O172" s="287">
        <f t="shared" si="40"/>
        <v>312.55034481128223</v>
      </c>
      <c r="P172" s="287">
        <f t="shared" si="41"/>
        <v>11.0298</v>
      </c>
    </row>
    <row r="173" spans="1:16" x14ac:dyDescent="0.3">
      <c r="A173" s="276">
        <f t="shared" si="52"/>
        <v>162</v>
      </c>
      <c r="B173" s="285">
        <f t="shared" si="42"/>
        <v>1800.0001974181084</v>
      </c>
      <c r="C173" s="286">
        <f t="shared" si="51"/>
        <v>2847.4739999999997</v>
      </c>
      <c r="D173" s="287">
        <f t="shared" si="43"/>
        <v>2545.5966685609314</v>
      </c>
      <c r="E173" s="287">
        <f t="shared" si="44"/>
        <v>897.74627976819852</v>
      </c>
      <c r="F173" s="288">
        <f t="shared" si="45"/>
        <v>35.474925143999997</v>
      </c>
      <c r="G173" s="285">
        <f t="shared" si="46"/>
        <v>11.999983548490963</v>
      </c>
      <c r="H173" s="286">
        <f t="shared" si="47"/>
        <v>35.153999999999996</v>
      </c>
      <c r="I173" s="287">
        <f t="shared" si="48"/>
        <v>27.235058018733763</v>
      </c>
      <c r="J173" s="287">
        <f t="shared" si="49"/>
        <v>6.2553906121989025</v>
      </c>
      <c r="K173" s="288">
        <f t="shared" si="50"/>
        <v>0.22059599999999999</v>
      </c>
      <c r="L173" s="285">
        <f t="shared" si="37"/>
        <v>599.98746393174144</v>
      </c>
      <c r="M173" s="286">
        <f t="shared" si="38"/>
        <v>1486.45</v>
      </c>
      <c r="N173" s="287">
        <f t="shared" si="39"/>
        <v>1221.7363067681158</v>
      </c>
      <c r="O173" s="287">
        <f t="shared" si="40"/>
        <v>312.56447377405021</v>
      </c>
      <c r="P173" s="287">
        <f t="shared" si="41"/>
        <v>11.0298</v>
      </c>
    </row>
    <row r="174" spans="1:16" x14ac:dyDescent="0.3">
      <c r="A174" s="276">
        <f t="shared" si="52"/>
        <v>163</v>
      </c>
      <c r="B174" s="285">
        <f t="shared" si="42"/>
        <v>1812.0001816334279</v>
      </c>
      <c r="C174" s="286">
        <f t="shared" si="51"/>
        <v>2882.7365</v>
      </c>
      <c r="D174" s="287">
        <f t="shared" si="43"/>
        <v>2572.8823693323561</v>
      </c>
      <c r="E174" s="287">
        <f t="shared" si="44"/>
        <v>904.00169663130737</v>
      </c>
      <c r="F174" s="288">
        <f t="shared" si="45"/>
        <v>35.695521143999997</v>
      </c>
      <c r="G174" s="285">
        <f t="shared" si="46"/>
        <v>11.999984863881</v>
      </c>
      <c r="H174" s="286">
        <f t="shared" si="47"/>
        <v>35.371000000000002</v>
      </c>
      <c r="I174" s="287">
        <f t="shared" si="48"/>
        <v>27.3362459841969</v>
      </c>
      <c r="J174" s="287">
        <f t="shared" si="49"/>
        <v>6.2554426455263501</v>
      </c>
      <c r="K174" s="288">
        <f t="shared" si="50"/>
        <v>0.22059599999999999</v>
      </c>
      <c r="L174" s="285">
        <f t="shared" si="37"/>
        <v>599.98846626041723</v>
      </c>
      <c r="M174" s="286">
        <f t="shared" si="38"/>
        <v>1497.3</v>
      </c>
      <c r="N174" s="287">
        <f t="shared" si="39"/>
        <v>1227.6031802718758</v>
      </c>
      <c r="O174" s="287">
        <f t="shared" si="40"/>
        <v>312.57785967434523</v>
      </c>
      <c r="P174" s="287">
        <f t="shared" si="41"/>
        <v>11.0298</v>
      </c>
    </row>
    <row r="175" spans="1:16" x14ac:dyDescent="0.3">
      <c r="A175" s="276">
        <f t="shared" si="52"/>
        <v>164</v>
      </c>
      <c r="B175" s="285">
        <f t="shared" si="42"/>
        <v>1824.0001671108209</v>
      </c>
      <c r="C175" s="286">
        <f t="shared" si="51"/>
        <v>2918.2159999999999</v>
      </c>
      <c r="D175" s="287">
        <f t="shared" si="43"/>
        <v>2600.268966012658</v>
      </c>
      <c r="E175" s="287">
        <f t="shared" si="44"/>
        <v>910.25716414717067</v>
      </c>
      <c r="F175" s="288">
        <f t="shared" si="45"/>
        <v>35.916117143999998</v>
      </c>
      <c r="G175" s="285">
        <f t="shared" si="46"/>
        <v>11.999986074098253</v>
      </c>
      <c r="H175" s="286">
        <f t="shared" si="47"/>
        <v>35.588000000000001</v>
      </c>
      <c r="I175" s="287">
        <f t="shared" si="48"/>
        <v>27.436850399001404</v>
      </c>
      <c r="J175" s="287">
        <f t="shared" si="49"/>
        <v>6.2554919423462687</v>
      </c>
      <c r="K175" s="288">
        <f t="shared" si="50"/>
        <v>0.22059599999999999</v>
      </c>
      <c r="L175" s="285">
        <f t="shared" si="37"/>
        <v>599.98938844731708</v>
      </c>
      <c r="M175" s="286">
        <f t="shared" si="38"/>
        <v>1508.15</v>
      </c>
      <c r="N175" s="287">
        <f t="shared" si="39"/>
        <v>1233.4362195357483</v>
      </c>
      <c r="O175" s="287">
        <f t="shared" si="40"/>
        <v>312.59054159089146</v>
      </c>
      <c r="P175" s="287">
        <f t="shared" si="41"/>
        <v>11.0298</v>
      </c>
    </row>
    <row r="176" spans="1:16" x14ac:dyDescent="0.3">
      <c r="A176" s="276">
        <f t="shared" si="52"/>
        <v>165</v>
      </c>
      <c r="B176" s="285">
        <f t="shared" si="42"/>
        <v>1836.0001537493774</v>
      </c>
      <c r="C176" s="286">
        <f t="shared" si="51"/>
        <v>2953.9124999999999</v>
      </c>
      <c r="D176" s="287">
        <f t="shared" si="43"/>
        <v>2627.7558767354662</v>
      </c>
      <c r="E176" s="287">
        <f t="shared" si="44"/>
        <v>916.51267965188708</v>
      </c>
      <c r="F176" s="288">
        <f t="shared" si="45"/>
        <v>36.136713143999998</v>
      </c>
      <c r="G176" s="285">
        <f t="shared" si="46"/>
        <v>11.999987187551881</v>
      </c>
      <c r="H176" s="286">
        <f t="shared" si="47"/>
        <v>35.805</v>
      </c>
      <c r="I176" s="287">
        <f t="shared" si="48"/>
        <v>27.536874628481979</v>
      </c>
      <c r="J176" s="287">
        <f t="shared" si="49"/>
        <v>6.2555386465755269</v>
      </c>
      <c r="K176" s="288">
        <f t="shared" si="50"/>
        <v>0.22059599999999999</v>
      </c>
      <c r="L176" s="285">
        <f t="shared" si="37"/>
        <v>599.99023690022352</v>
      </c>
      <c r="M176" s="286">
        <f t="shared" si="38"/>
        <v>1519</v>
      </c>
      <c r="N176" s="287">
        <f t="shared" si="39"/>
        <v>1239.2356196816811</v>
      </c>
      <c r="O176" s="287">
        <f t="shared" si="40"/>
        <v>312.6025565472068</v>
      </c>
      <c r="P176" s="287">
        <f t="shared" si="41"/>
        <v>11.0298</v>
      </c>
    </row>
    <row r="177" spans="1:16" x14ac:dyDescent="0.3">
      <c r="A177" s="276">
        <f t="shared" si="52"/>
        <v>166</v>
      </c>
      <c r="B177" s="285">
        <f t="shared" si="42"/>
        <v>1848.000141456256</v>
      </c>
      <c r="C177" s="286">
        <f t="shared" si="51"/>
        <v>2989.826</v>
      </c>
      <c r="D177" s="287">
        <f t="shared" si="43"/>
        <v>2655.3425229900367</v>
      </c>
      <c r="E177" s="287">
        <f t="shared" si="44"/>
        <v>922.76824062165383</v>
      </c>
      <c r="F177" s="288">
        <f t="shared" si="45"/>
        <v>36.357309143999991</v>
      </c>
      <c r="G177" s="285">
        <f t="shared" si="46"/>
        <v>11.999988211978669</v>
      </c>
      <c r="H177" s="286">
        <f t="shared" si="47"/>
        <v>36.021999999999998</v>
      </c>
      <c r="I177" s="287">
        <f t="shared" si="48"/>
        <v>27.636322018565433</v>
      </c>
      <c r="J177" s="287">
        <f t="shared" si="49"/>
        <v>6.2555828945621972</v>
      </c>
      <c r="K177" s="288">
        <f t="shared" si="50"/>
        <v>0.22059599999999999</v>
      </c>
      <c r="L177" s="285">
        <f t="shared" si="37"/>
        <v>599.99101751458124</v>
      </c>
      <c r="M177" s="286">
        <f t="shared" si="38"/>
        <v>1529.85</v>
      </c>
      <c r="N177" s="287">
        <f t="shared" si="39"/>
        <v>1245.0015747063553</v>
      </c>
      <c r="O177" s="287">
        <f t="shared" si="40"/>
        <v>312.61393961968895</v>
      </c>
      <c r="P177" s="287">
        <f t="shared" si="41"/>
        <v>11.0298</v>
      </c>
    </row>
    <row r="178" spans="1:16" x14ac:dyDescent="0.3">
      <c r="A178" s="276">
        <f t="shared" si="52"/>
        <v>167</v>
      </c>
      <c r="B178" s="285">
        <f t="shared" si="42"/>
        <v>1860.0001301460381</v>
      </c>
      <c r="C178" s="286">
        <f t="shared" si="51"/>
        <v>3025.9564999999998</v>
      </c>
      <c r="D178" s="287">
        <f t="shared" si="43"/>
        <v>2683.0283296018879</v>
      </c>
      <c r="E178" s="287">
        <f t="shared" si="44"/>
        <v>929.02384466539854</v>
      </c>
      <c r="F178" s="288">
        <f t="shared" si="45"/>
        <v>36.577905143999992</v>
      </c>
      <c r="G178" s="285">
        <f t="shared" si="46"/>
        <v>11.999989154496815</v>
      </c>
      <c r="H178" s="286">
        <f t="shared" si="47"/>
        <v>36.238999999999997</v>
      </c>
      <c r="I178" s="287">
        <f t="shared" si="48"/>
        <v>27.735195895882658</v>
      </c>
      <c r="J178" s="287">
        <f t="shared" si="49"/>
        <v>6.2556248154836078</v>
      </c>
      <c r="K178" s="288">
        <f t="shared" si="50"/>
        <v>0.22059599999999999</v>
      </c>
      <c r="L178" s="285">
        <f t="shared" si="37"/>
        <v>599.99173571446102</v>
      </c>
      <c r="M178" s="286">
        <f t="shared" si="38"/>
        <v>1540.7</v>
      </c>
      <c r="N178" s="287">
        <f t="shared" si="39"/>
        <v>1250.7342774876731</v>
      </c>
      <c r="O178" s="287">
        <f t="shared" si="40"/>
        <v>312.62472404001755</v>
      </c>
      <c r="P178" s="287">
        <f t="shared" si="41"/>
        <v>11.0298</v>
      </c>
    </row>
    <row r="179" spans="1:16" x14ac:dyDescent="0.3">
      <c r="A179" s="276">
        <f t="shared" si="52"/>
        <v>168</v>
      </c>
      <c r="B179" s="285">
        <f t="shared" si="42"/>
        <v>1872.0001197401355</v>
      </c>
      <c r="C179" s="286">
        <f t="shared" si="51"/>
        <v>3062.3040000000001</v>
      </c>
      <c r="D179" s="287">
        <f t="shared" si="43"/>
        <v>2710.812724713574</v>
      </c>
      <c r="E179" s="287">
        <f t="shared" si="44"/>
        <v>935.27948951779877</v>
      </c>
      <c r="F179" s="288">
        <f t="shared" si="45"/>
        <v>36.798501143999999</v>
      </c>
      <c r="G179" s="285">
        <f t="shared" si="46"/>
        <v>11.999990021655371</v>
      </c>
      <c r="H179" s="286">
        <f t="shared" si="47"/>
        <v>36.456000000000003</v>
      </c>
      <c r="I179" s="287">
        <f t="shared" si="48"/>
        <v>27.833499567879851</v>
      </c>
      <c r="J179" s="287">
        <f t="shared" si="49"/>
        <v>6.2556645317234691</v>
      </c>
      <c r="K179" s="288">
        <f t="shared" si="50"/>
        <v>0.22059599999999999</v>
      </c>
      <c r="L179" s="285">
        <f t="shared" si="37"/>
        <v>599.99239649024889</v>
      </c>
      <c r="M179" s="286">
        <f t="shared" si="38"/>
        <v>1551.55</v>
      </c>
      <c r="N179" s="287">
        <f t="shared" si="39"/>
        <v>1256.4339197912113</v>
      </c>
      <c r="O179" s="287">
        <f t="shared" si="40"/>
        <v>312.63494129217042</v>
      </c>
      <c r="P179" s="287">
        <f t="shared" si="41"/>
        <v>11.0298</v>
      </c>
    </row>
    <row r="180" spans="1:16" x14ac:dyDescent="0.3">
      <c r="A180" s="276">
        <f t="shared" si="52"/>
        <v>169</v>
      </c>
      <c r="B180" s="285">
        <f t="shared" si="42"/>
        <v>1884.0001101662428</v>
      </c>
      <c r="C180" s="286">
        <f t="shared" si="51"/>
        <v>3098.8685</v>
      </c>
      <c r="D180" s="287">
        <f t="shared" si="43"/>
        <v>2738.6951397655425</v>
      </c>
      <c r="E180" s="287">
        <f t="shared" si="44"/>
        <v>941.53517303266847</v>
      </c>
      <c r="F180" s="288">
        <f t="shared" si="45"/>
        <v>37.019097144</v>
      </c>
      <c r="G180" s="285">
        <f t="shared" si="46"/>
        <v>11.999990819479756</v>
      </c>
      <c r="H180" s="286">
        <f t="shared" si="47"/>
        <v>36.673000000000002</v>
      </c>
      <c r="I180" s="287">
        <f t="shared" si="48"/>
        <v>27.931236322929191</v>
      </c>
      <c r="J180" s="287">
        <f t="shared" si="49"/>
        <v>6.2557021592291537</v>
      </c>
      <c r="K180" s="288">
        <f t="shared" si="50"/>
        <v>0.22059599999999999</v>
      </c>
      <c r="L180" s="285">
        <f t="shared" si="37"/>
        <v>599.99300443332197</v>
      </c>
      <c r="M180" s="286">
        <f t="shared" si="38"/>
        <v>1562.4</v>
      </c>
      <c r="N180" s="287">
        <f t="shared" si="39"/>
        <v>1262.1006922766344</v>
      </c>
      <c r="O180" s="287">
        <f t="shared" si="40"/>
        <v>312.64462120433762</v>
      </c>
      <c r="P180" s="287">
        <f t="shared" si="41"/>
        <v>11.0298</v>
      </c>
    </row>
    <row r="181" spans="1:16" x14ac:dyDescent="0.3">
      <c r="A181" s="276">
        <f t="shared" si="52"/>
        <v>170</v>
      </c>
      <c r="B181" s="285">
        <f t="shared" si="42"/>
        <v>1896.0001013578365</v>
      </c>
      <c r="C181" s="286">
        <f t="shared" si="51"/>
        <v>3135.65</v>
      </c>
      <c r="D181" s="287">
        <f t="shared" si="43"/>
        <v>2766.6750094771282</v>
      </c>
      <c r="E181" s="287">
        <f t="shared" si="44"/>
        <v>947.79089317669309</v>
      </c>
      <c r="F181" s="288">
        <f t="shared" si="45"/>
        <v>37.239693144</v>
      </c>
      <c r="G181" s="285">
        <f t="shared" si="46"/>
        <v>11.999991553513627</v>
      </c>
      <c r="H181" s="286">
        <f t="shared" si="47"/>
        <v>36.89</v>
      </c>
      <c r="I181" s="287">
        <f t="shared" si="48"/>
        <v>28.028409430438817</v>
      </c>
      <c r="J181" s="287">
        <f t="shared" si="49"/>
        <v>6.2557378078501973</v>
      </c>
      <c r="K181" s="288">
        <f t="shared" si="50"/>
        <v>0.22059599999999999</v>
      </c>
      <c r="L181" s="285">
        <f t="shared" si="37"/>
        <v>599.99356376795072</v>
      </c>
      <c r="M181" s="286">
        <f t="shared" si="38"/>
        <v>1573.25</v>
      </c>
      <c r="N181" s="287">
        <f t="shared" si="39"/>
        <v>1267.7347845040738</v>
      </c>
      <c r="O181" s="287">
        <f t="shared" si="40"/>
        <v>312.65379203600179</v>
      </c>
      <c r="P181" s="287">
        <f t="shared" si="41"/>
        <v>11.0298</v>
      </c>
    </row>
    <row r="182" spans="1:16" x14ac:dyDescent="0.3">
      <c r="A182" s="276">
        <f t="shared" si="52"/>
        <v>171</v>
      </c>
      <c r="B182" s="285">
        <f t="shared" si="42"/>
        <v>1908.0000932537114</v>
      </c>
      <c r="C182" s="286">
        <f t="shared" si="51"/>
        <v>3172.6484999999998</v>
      </c>
      <c r="D182" s="287">
        <f t="shared" si="43"/>
        <v>2794.7517718276331</v>
      </c>
      <c r="E182" s="287">
        <f t="shared" si="44"/>
        <v>954.04664802349237</v>
      </c>
      <c r="F182" s="288">
        <f t="shared" si="45"/>
        <v>37.460289143999994</v>
      </c>
      <c r="G182" s="285">
        <f t="shared" si="46"/>
        <v>11.999992228857389</v>
      </c>
      <c r="H182" s="286">
        <f t="shared" si="47"/>
        <v>37.106999999999999</v>
      </c>
      <c r="I182" s="287">
        <f t="shared" si="48"/>
        <v>28.125022140962216</v>
      </c>
      <c r="J182" s="287">
        <f t="shared" si="49"/>
        <v>6.2557715816589887</v>
      </c>
      <c r="K182" s="288">
        <f t="shared" si="50"/>
        <v>0.22059599999999999</v>
      </c>
      <c r="L182" s="285">
        <f t="shared" si="37"/>
        <v>599.99407838065179</v>
      </c>
      <c r="M182" s="286">
        <f t="shared" si="38"/>
        <v>1584.1</v>
      </c>
      <c r="N182" s="287">
        <f t="shared" si="39"/>
        <v>1273.3363849404677</v>
      </c>
      <c r="O182" s="287">
        <f t="shared" si="40"/>
        <v>312.66248056043878</v>
      </c>
      <c r="P182" s="287">
        <f t="shared" si="41"/>
        <v>11.0298</v>
      </c>
    </row>
    <row r="183" spans="1:16" x14ac:dyDescent="0.3">
      <c r="A183" s="276">
        <f t="shared" si="52"/>
        <v>172</v>
      </c>
      <c r="B183" s="285">
        <f t="shared" si="42"/>
        <v>1920.0000857975563</v>
      </c>
      <c r="C183" s="286">
        <f t="shared" si="51"/>
        <v>3209.864</v>
      </c>
      <c r="D183" s="287">
        <f t="shared" si="43"/>
        <v>2822.9248680375331</v>
      </c>
      <c r="E183" s="287">
        <f t="shared" si="44"/>
        <v>960.30243574799749</v>
      </c>
      <c r="F183" s="288">
        <f t="shared" si="45"/>
        <v>37.680885143999994</v>
      </c>
      <c r="G183" s="285">
        <f t="shared" si="46"/>
        <v>11.999992850203645</v>
      </c>
      <c r="H183" s="286">
        <f t="shared" si="47"/>
        <v>37.323999999999998</v>
      </c>
      <c r="I183" s="287">
        <f t="shared" si="48"/>
        <v>28.22107768630692</v>
      </c>
      <c r="J183" s="287">
        <f t="shared" si="49"/>
        <v>6.2558035792546001</v>
      </c>
      <c r="K183" s="288">
        <f t="shared" si="50"/>
        <v>0.22059599999999999</v>
      </c>
      <c r="L183" s="285">
        <f t="shared" si="37"/>
        <v>599.99455184719307</v>
      </c>
      <c r="M183" s="286">
        <f t="shared" si="38"/>
        <v>1594.95</v>
      </c>
      <c r="N183" s="287">
        <f t="shared" si="39"/>
        <v>1278.9056809658671</v>
      </c>
      <c r="O183" s="287">
        <f t="shared" si="40"/>
        <v>312.67071214287938</v>
      </c>
      <c r="P183" s="287">
        <f t="shared" si="41"/>
        <v>11.0298</v>
      </c>
    </row>
    <row r="184" spans="1:16" x14ac:dyDescent="0.3">
      <c r="A184" s="276">
        <f t="shared" si="52"/>
        <v>173</v>
      </c>
      <c r="B184" s="285">
        <f t="shared" si="42"/>
        <v>1932.0000789375624</v>
      </c>
      <c r="C184" s="286">
        <f t="shared" si="51"/>
        <v>3247.2964999999999</v>
      </c>
      <c r="D184" s="287">
        <f t="shared" si="43"/>
        <v>2851.1937425497831</v>
      </c>
      <c r="E184" s="287">
        <f t="shared" si="44"/>
        <v>966.55825462112284</v>
      </c>
      <c r="F184" s="288">
        <f t="shared" si="45"/>
        <v>37.901481143999995</v>
      </c>
      <c r="G184" s="285">
        <f t="shared" si="46"/>
        <v>11.999993421869798</v>
      </c>
      <c r="H184" s="286">
        <f t="shared" si="47"/>
        <v>37.540999999999997</v>
      </c>
      <c r="I184" s="287">
        <f t="shared" si="48"/>
        <v>28.316579279642664</v>
      </c>
      <c r="J184" s="287">
        <f t="shared" si="49"/>
        <v>6.2558338940506371</v>
      </c>
      <c r="K184" s="288">
        <f t="shared" si="50"/>
        <v>0.22059599999999999</v>
      </c>
      <c r="L184" s="285">
        <f t="shared" si="37"/>
        <v>599.99498745743995</v>
      </c>
      <c r="M184" s="286">
        <f t="shared" si="38"/>
        <v>1605.8</v>
      </c>
      <c r="N184" s="287">
        <f t="shared" si="39"/>
        <v>1284.4428588797018</v>
      </c>
      <c r="O184" s="287">
        <f t="shared" si="40"/>
        <v>312.67851081456035</v>
      </c>
      <c r="P184" s="287">
        <f t="shared" si="41"/>
        <v>11.0298</v>
      </c>
    </row>
    <row r="185" spans="1:16" x14ac:dyDescent="0.3">
      <c r="A185" s="276">
        <f t="shared" si="52"/>
        <v>174</v>
      </c>
      <c r="B185" s="285">
        <f t="shared" si="42"/>
        <v>1944.0000726260635</v>
      </c>
      <c r="C185" s="286">
        <f t="shared" si="51"/>
        <v>3284.9460000000004</v>
      </c>
      <c r="D185" s="287">
        <f t="shared" si="43"/>
        <v>2879.5578430112341</v>
      </c>
      <c r="E185" s="287">
        <f t="shared" si="44"/>
        <v>972.81410300471759</v>
      </c>
      <c r="F185" s="288">
        <f t="shared" si="45"/>
        <v>38.122077143999995</v>
      </c>
      <c r="G185" s="285">
        <f t="shared" si="46"/>
        <v>11.999993947828049</v>
      </c>
      <c r="H185" s="286">
        <f t="shared" si="47"/>
        <v>37.758000000000003</v>
      </c>
      <c r="I185" s="287">
        <f t="shared" si="48"/>
        <v>28.411530115608823</v>
      </c>
      <c r="J185" s="287">
        <f t="shared" si="49"/>
        <v>6.2558626145479508</v>
      </c>
      <c r="K185" s="288">
        <f t="shared" si="50"/>
        <v>0.22059599999999999</v>
      </c>
      <c r="L185" s="285">
        <f t="shared" si="37"/>
        <v>599.99538823821456</v>
      </c>
      <c r="M185" s="286">
        <f t="shared" si="38"/>
        <v>1616.65</v>
      </c>
      <c r="N185" s="287">
        <f t="shared" si="39"/>
        <v>1289.9481039070135</v>
      </c>
      <c r="O185" s="287">
        <f t="shared" si="40"/>
        <v>312.68589934288116</v>
      </c>
      <c r="P185" s="287">
        <f t="shared" si="41"/>
        <v>11.0298</v>
      </c>
    </row>
    <row r="186" spans="1:16" x14ac:dyDescent="0.3">
      <c r="A186" s="276">
        <f t="shared" si="52"/>
        <v>175</v>
      </c>
      <c r="B186" s="285">
        <f t="shared" si="42"/>
        <v>1956.000066819204</v>
      </c>
      <c r="C186" s="286">
        <f t="shared" si="51"/>
        <v>3322.8125</v>
      </c>
      <c r="D186" s="287">
        <f t="shared" si="43"/>
        <v>2908.0166202541527</v>
      </c>
      <c r="E186" s="287">
        <f t="shared" si="44"/>
        <v>979.06997934678361</v>
      </c>
      <c r="F186" s="288">
        <f t="shared" si="45"/>
        <v>38.342673143999995</v>
      </c>
      <c r="G186" s="285">
        <f t="shared" si="46"/>
        <v>11.999994431733001</v>
      </c>
      <c r="H186" s="286">
        <f t="shared" si="47"/>
        <v>37.975000000000001</v>
      </c>
      <c r="I186" s="287">
        <f t="shared" si="48"/>
        <v>28.505933370421324</v>
      </c>
      <c r="J186" s="287">
        <f t="shared" si="49"/>
        <v>6.2558898245930035</v>
      </c>
      <c r="K186" s="288">
        <f t="shared" si="50"/>
        <v>0.22059599999999999</v>
      </c>
      <c r="L186" s="285">
        <f t="shared" si="37"/>
        <v>599.99575697432772</v>
      </c>
      <c r="M186" s="286">
        <f t="shared" si="38"/>
        <v>1627.5</v>
      </c>
      <c r="N186" s="287">
        <f t="shared" si="39"/>
        <v>1295.4216002046528</v>
      </c>
      <c r="O186" s="287">
        <f t="shared" si="40"/>
        <v>312.69289929787107</v>
      </c>
      <c r="P186" s="287">
        <f t="shared" si="41"/>
        <v>11.0298</v>
      </c>
    </row>
    <row r="187" spans="1:16" x14ac:dyDescent="0.3">
      <c r="A187" s="276">
        <f t="shared" si="52"/>
        <v>176</v>
      </c>
      <c r="B187" s="285">
        <f t="shared" si="42"/>
        <v>1968.0000614766354</v>
      </c>
      <c r="C187" s="286">
        <f t="shared" si="51"/>
        <v>3360.8960000000002</v>
      </c>
      <c r="D187" s="287">
        <f t="shared" si="43"/>
        <v>2936.5695282778611</v>
      </c>
      <c r="E187" s="287">
        <f t="shared" si="44"/>
        <v>985.32588217694479</v>
      </c>
      <c r="F187" s="288">
        <f t="shared" si="45"/>
        <v>38.563269143999996</v>
      </c>
      <c r="G187" s="285">
        <f t="shared" si="46"/>
        <v>11.999994876947047</v>
      </c>
      <c r="H187" s="286">
        <f t="shared" si="47"/>
        <v>38.192</v>
      </c>
      <c r="I187" s="287">
        <f t="shared" si="48"/>
        <v>28.599792201978829</v>
      </c>
      <c r="J187" s="287">
        <f t="shared" si="49"/>
        <v>6.2559156036226531</v>
      </c>
      <c r="K187" s="288">
        <f t="shared" si="50"/>
        <v>0.22059599999999999</v>
      </c>
      <c r="L187" s="285">
        <f t="shared" si="37"/>
        <v>599.99609622792912</v>
      </c>
      <c r="M187" s="286">
        <f t="shared" si="38"/>
        <v>1638.35</v>
      </c>
      <c r="N187" s="287">
        <f t="shared" si="39"/>
        <v>1300.8635308674372</v>
      </c>
      <c r="O187" s="287">
        <f t="shared" si="40"/>
        <v>312.69953111516031</v>
      </c>
      <c r="P187" s="287">
        <f t="shared" si="41"/>
        <v>11.0298</v>
      </c>
    </row>
    <row r="188" spans="1:16" x14ac:dyDescent="0.3">
      <c r="A188" s="276">
        <f t="shared" si="52"/>
        <v>177</v>
      </c>
      <c r="B188" s="285">
        <f t="shared" si="42"/>
        <v>1980.0000565612349</v>
      </c>
      <c r="C188" s="286">
        <f t="shared" si="51"/>
        <v>3399.1965</v>
      </c>
      <c r="D188" s="287">
        <f t="shared" si="43"/>
        <v>2965.2160242304553</v>
      </c>
      <c r="E188" s="287">
        <f t="shared" si="44"/>
        <v>991.58181010215424</v>
      </c>
      <c r="F188" s="288">
        <f t="shared" si="45"/>
        <v>38.783865143999996</v>
      </c>
      <c r="G188" s="285">
        <f t="shared" si="46"/>
        <v>11.999995286563745</v>
      </c>
      <c r="H188" s="286">
        <f t="shared" si="47"/>
        <v>38.408999999999999</v>
      </c>
      <c r="I188" s="287">
        <f t="shared" si="48"/>
        <v>28.693109749968446</v>
      </c>
      <c r="J188" s="287">
        <f t="shared" si="49"/>
        <v>6.2559400268960559</v>
      </c>
      <c r="K188" s="288">
        <f t="shared" si="50"/>
        <v>0.22059599999999999</v>
      </c>
      <c r="L188" s="285">
        <f t="shared" si="37"/>
        <v>599.9964083563101</v>
      </c>
      <c r="M188" s="286">
        <f t="shared" si="38"/>
        <v>1649.2</v>
      </c>
      <c r="N188" s="287">
        <f t="shared" si="39"/>
        <v>1306.2740779342776</v>
      </c>
      <c r="O188" s="287">
        <f t="shared" si="40"/>
        <v>312.70581415564016</v>
      </c>
      <c r="P188" s="287">
        <f t="shared" si="41"/>
        <v>11.0298</v>
      </c>
    </row>
    <row r="189" spans="1:16" x14ac:dyDescent="0.3">
      <c r="A189" s="276">
        <f t="shared" si="52"/>
        <v>178</v>
      </c>
      <c r="B189" s="285">
        <f t="shared" si="42"/>
        <v>1992.0000520388485</v>
      </c>
      <c r="C189" s="286">
        <f t="shared" si="51"/>
        <v>3437.7139999999999</v>
      </c>
      <c r="D189" s="287">
        <f t="shared" si="43"/>
        <v>2993.9555683906688</v>
      </c>
      <c r="E189" s="287">
        <f t="shared" si="44"/>
        <v>997.8377618026268</v>
      </c>
      <c r="F189" s="288">
        <f t="shared" si="45"/>
        <v>39.004461143999997</v>
      </c>
      <c r="G189" s="285">
        <f t="shared" si="46"/>
        <v>11.999995663429299</v>
      </c>
      <c r="H189" s="286">
        <f t="shared" si="47"/>
        <v>38.625999999999998</v>
      </c>
      <c r="I189" s="287">
        <f t="shared" si="48"/>
        <v>28.785889135970685</v>
      </c>
      <c r="J189" s="287">
        <f t="shared" si="49"/>
        <v>6.2559631657143839</v>
      </c>
      <c r="K189" s="288">
        <f t="shared" si="50"/>
        <v>0.22059599999999999</v>
      </c>
      <c r="L189" s="285">
        <f t="shared" si="37"/>
        <v>599.99669552828379</v>
      </c>
      <c r="M189" s="286">
        <f t="shared" si="38"/>
        <v>1660.05</v>
      </c>
      <c r="N189" s="287">
        <f t="shared" si="39"/>
        <v>1311.6534223942667</v>
      </c>
      <c r="O189" s="287">
        <f t="shared" si="40"/>
        <v>312.71176676198462</v>
      </c>
      <c r="P189" s="287">
        <f t="shared" si="41"/>
        <v>11.0298</v>
      </c>
    </row>
    <row r="190" spans="1:16" x14ac:dyDescent="0.3">
      <c r="A190" s="276">
        <f t="shared" si="52"/>
        <v>179</v>
      </c>
      <c r="B190" s="285">
        <f t="shared" si="42"/>
        <v>2004.0000478780519</v>
      </c>
      <c r="C190" s="286">
        <f t="shared" si="51"/>
        <v>3476.4484999999995</v>
      </c>
      <c r="D190" s="287">
        <f t="shared" si="43"/>
        <v>3022.7876241497943</v>
      </c>
      <c r="E190" s="287">
        <f t="shared" si="44"/>
        <v>1004.0937360279878</v>
      </c>
      <c r="F190" s="288">
        <f t="shared" si="45"/>
        <v>39.225057143999997</v>
      </c>
      <c r="G190" s="285">
        <f t="shared" si="46"/>
        <v>11.999996010162349</v>
      </c>
      <c r="H190" s="286">
        <f t="shared" si="47"/>
        <v>38.842999999999996</v>
      </c>
      <c r="I190" s="287">
        <f t="shared" si="48"/>
        <v>28.878133463563948</v>
      </c>
      <c r="J190" s="287">
        <f t="shared" si="49"/>
        <v>6.255985087628976</v>
      </c>
      <c r="K190" s="288">
        <f t="shared" si="50"/>
        <v>0.22059599999999999</v>
      </c>
      <c r="L190" s="285">
        <f t="shared" si="37"/>
        <v>599.99695973925418</v>
      </c>
      <c r="M190" s="286">
        <f t="shared" si="38"/>
        <v>1670.9</v>
      </c>
      <c r="N190" s="287">
        <f t="shared" si="39"/>
        <v>1317.0017441927339</v>
      </c>
      <c r="O190" s="287">
        <f t="shared" si="40"/>
        <v>312.71740631220001</v>
      </c>
      <c r="P190" s="287">
        <f t="shared" si="41"/>
        <v>11.0298</v>
      </c>
    </row>
    <row r="191" spans="1:16" x14ac:dyDescent="0.3">
      <c r="A191" s="276">
        <f t="shared" si="52"/>
        <v>180</v>
      </c>
      <c r="B191" s="285">
        <f t="shared" si="42"/>
        <v>2016.0000440499341</v>
      </c>
      <c r="C191" s="286">
        <f t="shared" si="51"/>
        <v>3515.4</v>
      </c>
      <c r="D191" s="287">
        <f t="shared" si="43"/>
        <v>3051.7116579937501</v>
      </c>
      <c r="E191" s="287">
        <f t="shared" si="44"/>
        <v>1010.3497315936205</v>
      </c>
      <c r="F191" s="288">
        <f t="shared" si="45"/>
        <v>39.445653143999998</v>
      </c>
      <c r="G191" s="285">
        <f t="shared" si="46"/>
        <v>11.999996329172154</v>
      </c>
      <c r="H191" s="286">
        <f t="shared" si="47"/>
        <v>39.06</v>
      </c>
      <c r="I191" s="287">
        <f t="shared" si="48"/>
        <v>28.969845818428276</v>
      </c>
      <c r="J191" s="287">
        <f t="shared" si="49"/>
        <v>6.2560058566385504</v>
      </c>
      <c r="K191" s="288">
        <f t="shared" si="50"/>
        <v>0.22059599999999999</v>
      </c>
      <c r="L191" s="285">
        <f t="shared" ref="L191:L211" si="53">12*50-12*12*EXP(-A191/12)*(EXP(50/12)-1)</f>
        <v>599.99720282508179</v>
      </c>
      <c r="M191" s="286">
        <f t="shared" ref="M191:M211" si="54">0.217*(50*A191-50*50/2)</f>
        <v>1681.75</v>
      </c>
      <c r="N191" s="287">
        <f t="shared" ref="N191:N211" si="55">0.259*(172.9*50-172.9*172.9*EXP(-A191/172.9)*(EXP(50/172.9)-1))</f>
        <v>1322.3192222372647</v>
      </c>
      <c r="O191" s="287">
        <f t="shared" ref="O191:O211" si="56">0.338*(18.51*50-18.51*18.51*EXP(-A191/18.51)*(EXP(50/18.51)-1))</f>
        <v>312.72274927035852</v>
      </c>
      <c r="P191" s="287">
        <f t="shared" ref="P191:P211" si="57">0.186*(1.186*50-1.186*1.186*EXP(-A191/1.186)*(EXP(50/1.186)-1))</f>
        <v>11.0298</v>
      </c>
    </row>
    <row r="192" spans="1:16" x14ac:dyDescent="0.3">
      <c r="A192" s="276">
        <f t="shared" si="52"/>
        <v>181</v>
      </c>
      <c r="B192" s="285">
        <f t="shared" si="42"/>
        <v>2028.0000405278959</v>
      </c>
      <c r="C192" s="286">
        <f t="shared" si="51"/>
        <v>3554.5685000000003</v>
      </c>
      <c r="D192" s="287">
        <f t="shared" si="43"/>
        <v>3080.7271394852323</v>
      </c>
      <c r="E192" s="287">
        <f t="shared" si="44"/>
        <v>1016.6057473772097</v>
      </c>
      <c r="F192" s="288">
        <f t="shared" si="45"/>
        <v>39.666249143999998</v>
      </c>
      <c r="G192" s="285">
        <f t="shared" si="46"/>
        <v>11.999996622675344</v>
      </c>
      <c r="H192" s="286">
        <f t="shared" si="47"/>
        <v>39.277000000000001</v>
      </c>
      <c r="I192" s="287">
        <f t="shared" si="48"/>
        <v>29.061029268448625</v>
      </c>
      <c r="J192" s="287">
        <f t="shared" si="49"/>
        <v>6.2560255333760404</v>
      </c>
      <c r="K192" s="288">
        <f t="shared" si="50"/>
        <v>0.22059599999999999</v>
      </c>
      <c r="L192" s="285">
        <f t="shared" si="53"/>
        <v>599.99742647483981</v>
      </c>
      <c r="M192" s="286">
        <f t="shared" si="54"/>
        <v>1692.6</v>
      </c>
      <c r="N192" s="287">
        <f t="shared" si="55"/>
        <v>1327.606034403685</v>
      </c>
      <c r="O192" s="287">
        <f t="shared" si="56"/>
        <v>312.72781123466297</v>
      </c>
      <c r="P192" s="287">
        <f t="shared" si="57"/>
        <v>11.0298</v>
      </c>
    </row>
    <row r="193" spans="1:16" x14ac:dyDescent="0.3">
      <c r="A193" s="276">
        <f t="shared" si="52"/>
        <v>182</v>
      </c>
      <c r="B193" s="285">
        <f t="shared" si="42"/>
        <v>2040.0000372874642</v>
      </c>
      <c r="C193" s="286">
        <f t="shared" si="51"/>
        <v>3593.9540000000002</v>
      </c>
      <c r="D193" s="287">
        <f t="shared" si="43"/>
        <v>3109.8335412459592</v>
      </c>
      <c r="E193" s="287">
        <f t="shared" si="44"/>
        <v>1022.8617823154636</v>
      </c>
      <c r="F193" s="288">
        <f t="shared" si="45"/>
        <v>39.886845143999992</v>
      </c>
      <c r="G193" s="285">
        <f t="shared" si="46"/>
        <v>11.999996892711314</v>
      </c>
      <c r="H193" s="286">
        <f t="shared" si="47"/>
        <v>39.494</v>
      </c>
      <c r="I193" s="287">
        <f t="shared" si="48"/>
        <v>29.151686863817467</v>
      </c>
      <c r="J193" s="287">
        <f t="shared" si="49"/>
        <v>6.2560441752856066</v>
      </c>
      <c r="K193" s="288">
        <f t="shared" si="50"/>
        <v>0.22059599999999999</v>
      </c>
      <c r="L193" s="285">
        <f t="shared" si="53"/>
        <v>599.99763224255048</v>
      </c>
      <c r="M193" s="286">
        <f t="shared" si="54"/>
        <v>1703.45</v>
      </c>
      <c r="N193" s="287">
        <f t="shared" si="55"/>
        <v>1332.8623575420113</v>
      </c>
      <c r="O193" s="287">
        <f t="shared" si="56"/>
        <v>312.73260698298429</v>
      </c>
      <c r="P193" s="287">
        <f t="shared" si="57"/>
        <v>11.0298</v>
      </c>
    </row>
    <row r="194" spans="1:16" x14ac:dyDescent="0.3">
      <c r="A194" s="276">
        <f t="shared" si="52"/>
        <v>183</v>
      </c>
      <c r="B194" s="285">
        <f t="shared" si="42"/>
        <v>2052.0000343061233</v>
      </c>
      <c r="C194" s="286">
        <f t="shared" si="51"/>
        <v>3633.5564999999997</v>
      </c>
      <c r="D194" s="287">
        <f t="shared" si="43"/>
        <v>3139.0303389390451</v>
      </c>
      <c r="E194" s="287">
        <f t="shared" si="44"/>
        <v>1029.117835401011</v>
      </c>
      <c r="F194" s="288">
        <f t="shared" si="45"/>
        <v>40.107441143999992</v>
      </c>
      <c r="G194" s="285">
        <f t="shared" si="46"/>
        <v>11.999997141156399</v>
      </c>
      <c r="H194" s="286">
        <f t="shared" si="47"/>
        <v>39.710999999999999</v>
      </c>
      <c r="I194" s="287">
        <f t="shared" si="48"/>
        <v>29.241821637136812</v>
      </c>
      <c r="J194" s="287">
        <f t="shared" si="49"/>
        <v>6.2560618367903365</v>
      </c>
      <c r="K194" s="288">
        <f t="shared" si="50"/>
        <v>0.22059599999999999</v>
      </c>
      <c r="L194" s="285">
        <f t="shared" si="53"/>
        <v>599.99782155798334</v>
      </c>
      <c r="M194" s="286">
        <f t="shared" si="54"/>
        <v>1714.3</v>
      </c>
      <c r="N194" s="287">
        <f t="shared" si="55"/>
        <v>1338.0883674823665</v>
      </c>
      <c r="O194" s="287">
        <f t="shared" si="56"/>
        <v>312.73715051600385</v>
      </c>
      <c r="P194" s="287">
        <f t="shared" si="57"/>
        <v>11.0298</v>
      </c>
    </row>
    <row r="195" spans="1:16" x14ac:dyDescent="0.3">
      <c r="A195" s="276">
        <f t="shared" si="52"/>
        <v>184</v>
      </c>
      <c r="B195" s="285">
        <f t="shared" si="42"/>
        <v>2064.0000315631569</v>
      </c>
      <c r="C195" s="286">
        <f t="shared" si="51"/>
        <v>3673.3759999999997</v>
      </c>
      <c r="D195" s="287">
        <f t="shared" si="43"/>
        <v>3168.3170112514472</v>
      </c>
      <c r="E195" s="287">
        <f t="shared" si="44"/>
        <v>1035.3739056794598</v>
      </c>
      <c r="F195" s="288">
        <f t="shared" si="45"/>
        <v>40.328037144</v>
      </c>
      <c r="G195" s="285">
        <f t="shared" si="46"/>
        <v>11.999997369736914</v>
      </c>
      <c r="H195" s="286">
        <f t="shared" si="47"/>
        <v>39.927999999999997</v>
      </c>
      <c r="I195" s="287">
        <f t="shared" si="48"/>
        <v>29.331436603519677</v>
      </c>
      <c r="J195" s="287">
        <f t="shared" si="49"/>
        <v>6.2560785694511312</v>
      </c>
      <c r="K195" s="288">
        <f t="shared" si="50"/>
        <v>0.22059599999999999</v>
      </c>
      <c r="L195" s="285">
        <f t="shared" si="53"/>
        <v>599.99799573658993</v>
      </c>
      <c r="M195" s="286">
        <f t="shared" si="54"/>
        <v>1725.15</v>
      </c>
      <c r="N195" s="287">
        <f t="shared" si="55"/>
        <v>1343.2842390408621</v>
      </c>
      <c r="O195" s="287">
        <f t="shared" si="56"/>
        <v>312.74145509808727</v>
      </c>
      <c r="P195" s="287">
        <f t="shared" si="57"/>
        <v>11.0298</v>
      </c>
    </row>
    <row r="196" spans="1:16" x14ac:dyDescent="0.3">
      <c r="A196" s="276">
        <f t="shared" si="52"/>
        <v>185</v>
      </c>
      <c r="B196" s="285">
        <f t="shared" ref="B196:B211" si="58">12*A196-12*12*(1-EXP(-A196/12))</f>
        <v>2076.0000290395064</v>
      </c>
      <c r="C196" s="286">
        <f t="shared" si="51"/>
        <v>3713.4125000000004</v>
      </c>
      <c r="D196" s="287">
        <f t="shared" ref="D196:D211" si="59">0.259*(172.9*A196-172.9*172.9*(1-EXP(-A196/172.9)))</f>
        <v>3197.6930398765394</v>
      </c>
      <c r="E196" s="287">
        <f t="shared" ref="E196:E211" si="60">0.338*(18.51*A196-18.51*18.51*(1-EXP(-A196/18.51)))</f>
        <v>1041.6299922466103</v>
      </c>
      <c r="F196" s="288">
        <f t="shared" ref="F196:F211" si="61">0.186*(1.186*A196-1.186*1.186*(1-EXP(-A196/1.186)))</f>
        <v>40.548633144</v>
      </c>
      <c r="G196" s="285">
        <f t="shared" ref="G196:G211" si="62">12*(1-EXP(-A196/12))</f>
        <v>11.999997580041137</v>
      </c>
      <c r="H196" s="286">
        <f t="shared" ref="H196:H211" si="63">0.217*A196</f>
        <v>40.145000000000003</v>
      </c>
      <c r="I196" s="287">
        <f t="shared" ref="I196:I211" si="64">0.259*172.9*(1-EXP(-A196/172.9))</f>
        <v>29.42053476069092</v>
      </c>
      <c r="J196" s="287">
        <f t="shared" ref="J196:J211" si="65">0.338*18.51*(1-EXP(-A196/18.51))</f>
        <v>6.2560944221172283</v>
      </c>
      <c r="K196" s="288">
        <f t="shared" ref="K196:K211" si="66">0.186*1.186*(1-EXP(-A196/1.186))</f>
        <v>0.22059599999999999</v>
      </c>
      <c r="L196" s="285">
        <f t="shared" si="53"/>
        <v>599.99815598864416</v>
      </c>
      <c r="M196" s="286">
        <f t="shared" si="54"/>
        <v>1736</v>
      </c>
      <c r="N196" s="287">
        <f t="shared" si="55"/>
        <v>1348.4501460254457</v>
      </c>
      <c r="O196" s="287">
        <f t="shared" si="56"/>
        <v>312.74553329600781</v>
      </c>
      <c r="P196" s="287">
        <f t="shared" si="57"/>
        <v>11.0298</v>
      </c>
    </row>
    <row r="197" spans="1:16" x14ac:dyDescent="0.3">
      <c r="A197" s="276">
        <f t="shared" si="52"/>
        <v>186</v>
      </c>
      <c r="B197" s="285">
        <f t="shared" si="58"/>
        <v>2088.0000267176356</v>
      </c>
      <c r="C197" s="286">
        <f t="shared" si="51"/>
        <v>3753.6660000000002</v>
      </c>
      <c r="D197" s="287">
        <f t="shared" si="59"/>
        <v>3227.1579094967628</v>
      </c>
      <c r="E197" s="287">
        <f t="shared" si="60"/>
        <v>1047.8860942458164</v>
      </c>
      <c r="F197" s="288">
        <f t="shared" si="61"/>
        <v>40.769229144000001</v>
      </c>
      <c r="G197" s="285">
        <f t="shared" si="62"/>
        <v>11.999997773530364</v>
      </c>
      <c r="H197" s="286">
        <f t="shared" si="63"/>
        <v>40.362000000000002</v>
      </c>
      <c r="I197" s="287">
        <f t="shared" si="64"/>
        <v>29.509119089087552</v>
      </c>
      <c r="J197" s="287">
        <f t="shared" si="65"/>
        <v>6.2561094410688156</v>
      </c>
      <c r="K197" s="288">
        <f t="shared" si="66"/>
        <v>0.22059599999999999</v>
      </c>
      <c r="L197" s="285">
        <f t="shared" si="53"/>
        <v>599.99830342765154</v>
      </c>
      <c r="M197" s="286">
        <f t="shared" si="54"/>
        <v>1746.85</v>
      </c>
      <c r="N197" s="287">
        <f t="shared" si="55"/>
        <v>1353.5862612417152</v>
      </c>
      <c r="O197" s="287">
        <f t="shared" si="56"/>
        <v>312.7493970156342</v>
      </c>
      <c r="P197" s="287">
        <f t="shared" si="57"/>
        <v>11.0298</v>
      </c>
    </row>
    <row r="198" spans="1:16" x14ac:dyDescent="0.3">
      <c r="A198" s="276">
        <f t="shared" si="52"/>
        <v>187</v>
      </c>
      <c r="B198" s="285">
        <f t="shared" si="58"/>
        <v>2100.0000245814113</v>
      </c>
      <c r="C198" s="286">
        <f t="shared" ref="C198:C211" si="67">0.217*A198*A198/2</f>
        <v>3794.1365000000001</v>
      </c>
      <c r="D198" s="287">
        <f t="shared" si="59"/>
        <v>3256.7111077663953</v>
      </c>
      <c r="E198" s="287">
        <f t="shared" si="60"/>
        <v>1054.1422108654842</v>
      </c>
      <c r="F198" s="288">
        <f t="shared" si="61"/>
        <v>40.989825143999994</v>
      </c>
      <c r="G198" s="285">
        <f t="shared" si="62"/>
        <v>11.999997951549048</v>
      </c>
      <c r="H198" s="286">
        <f t="shared" si="63"/>
        <v>40.579000000000001</v>
      </c>
      <c r="I198" s="287">
        <f t="shared" si="64"/>
        <v>29.597192551958383</v>
      </c>
      <c r="J198" s="287">
        <f t="shared" si="65"/>
        <v>6.2561236701521388</v>
      </c>
      <c r="K198" s="288">
        <f t="shared" si="66"/>
        <v>0.22059599999999999</v>
      </c>
      <c r="L198" s="285">
        <f t="shared" si="53"/>
        <v>599.99843907808679</v>
      </c>
      <c r="M198" s="286">
        <f t="shared" si="54"/>
        <v>1757.7</v>
      </c>
      <c r="N198" s="287">
        <f t="shared" si="55"/>
        <v>1358.6927564986984</v>
      </c>
      <c r="O198" s="287">
        <f t="shared" si="56"/>
        <v>312.75305753668852</v>
      </c>
      <c r="P198" s="287">
        <f t="shared" si="57"/>
        <v>11.0298</v>
      </c>
    </row>
    <row r="199" spans="1:16" x14ac:dyDescent="0.3">
      <c r="A199" s="276">
        <f t="shared" si="52"/>
        <v>188</v>
      </c>
      <c r="B199" s="285">
        <f t="shared" si="58"/>
        <v>2112.0000226159905</v>
      </c>
      <c r="C199" s="286">
        <f t="shared" si="67"/>
        <v>3834.8240000000001</v>
      </c>
      <c r="D199" s="287">
        <f t="shared" si="59"/>
        <v>3286.3521252944124</v>
      </c>
      <c r="E199" s="287">
        <f t="shared" si="60"/>
        <v>1060.3983413367023</v>
      </c>
      <c r="F199" s="288">
        <f t="shared" si="61"/>
        <v>41.210421143999994</v>
      </c>
      <c r="G199" s="285">
        <f t="shared" si="62"/>
        <v>11.999998115334144</v>
      </c>
      <c r="H199" s="286">
        <f t="shared" si="63"/>
        <v>40.795999999999999</v>
      </c>
      <c r="I199" s="287">
        <f t="shared" si="64"/>
        <v>29.684758095463202</v>
      </c>
      <c r="J199" s="287">
        <f t="shared" si="65"/>
        <v>6.2561371509075041</v>
      </c>
      <c r="K199" s="288">
        <f t="shared" si="66"/>
        <v>0.22059599999999999</v>
      </c>
      <c r="L199" s="285">
        <f t="shared" si="53"/>
        <v>599.99856388251203</v>
      </c>
      <c r="M199" s="286">
        <f t="shared" si="54"/>
        <v>1768.55</v>
      </c>
      <c r="N199" s="287">
        <f t="shared" si="55"/>
        <v>1363.7698026146013</v>
      </c>
      <c r="O199" s="287">
        <f t="shared" si="56"/>
        <v>312.7565255456758</v>
      </c>
      <c r="P199" s="287">
        <f t="shared" si="57"/>
        <v>11.0298</v>
      </c>
    </row>
    <row r="200" spans="1:16" x14ac:dyDescent="0.3">
      <c r="A200" s="276">
        <f t="shared" si="52"/>
        <v>189</v>
      </c>
      <c r="B200" s="285">
        <f t="shared" si="58"/>
        <v>2124.0000208077154</v>
      </c>
      <c r="C200" s="286">
        <f t="shared" si="67"/>
        <v>3875.7284999999997</v>
      </c>
      <c r="D200" s="287">
        <f t="shared" si="59"/>
        <v>3316.0804556274447</v>
      </c>
      <c r="E200" s="287">
        <f t="shared" si="60"/>
        <v>1066.654484930998</v>
      </c>
      <c r="F200" s="288">
        <f t="shared" si="61"/>
        <v>41.431017143999995</v>
      </c>
      <c r="G200" s="285">
        <f t="shared" si="62"/>
        <v>11.999998266023704</v>
      </c>
      <c r="H200" s="286">
        <f t="shared" si="63"/>
        <v>41.012999999999998</v>
      </c>
      <c r="I200" s="287">
        <f t="shared" si="64"/>
        <v>29.771818648771287</v>
      </c>
      <c r="J200" s="287">
        <f t="shared" si="65"/>
        <v>6.2561499226905566</v>
      </c>
      <c r="K200" s="288">
        <f t="shared" si="66"/>
        <v>0.22059599999999999</v>
      </c>
      <c r="L200" s="285">
        <f t="shared" si="53"/>
        <v>599.99867870812648</v>
      </c>
      <c r="M200" s="286">
        <f t="shared" si="54"/>
        <v>1779.4</v>
      </c>
      <c r="N200" s="287">
        <f t="shared" si="55"/>
        <v>1368.8175694225226</v>
      </c>
      <c r="O200" s="287">
        <f t="shared" si="56"/>
        <v>312.7598111670826</v>
      </c>
      <c r="P200" s="287">
        <f t="shared" si="57"/>
        <v>11.0298</v>
      </c>
    </row>
    <row r="201" spans="1:16" x14ac:dyDescent="0.3">
      <c r="A201" s="276">
        <f t="shared" si="52"/>
        <v>190</v>
      </c>
      <c r="B201" s="285">
        <f t="shared" si="58"/>
        <v>2136.0000191440226</v>
      </c>
      <c r="C201" s="286">
        <f t="shared" si="67"/>
        <v>3916.85</v>
      </c>
      <c r="D201" s="287">
        <f t="shared" si="59"/>
        <v>3345.8955952328356</v>
      </c>
      <c r="E201" s="287">
        <f t="shared" si="60"/>
        <v>1072.9106409582096</v>
      </c>
      <c r="F201" s="288">
        <f t="shared" si="61"/>
        <v>41.651613143999995</v>
      </c>
      <c r="G201" s="285">
        <f t="shared" si="62"/>
        <v>11.999998404664794</v>
      </c>
      <c r="H201" s="286">
        <f t="shared" si="63"/>
        <v>41.23</v>
      </c>
      <c r="I201" s="287">
        <f t="shared" si="64"/>
        <v>29.858377124159425</v>
      </c>
      <c r="J201" s="287">
        <f t="shared" si="65"/>
        <v>6.2561620227871684</v>
      </c>
      <c r="K201" s="288">
        <f t="shared" si="66"/>
        <v>0.22059599999999999</v>
      </c>
      <c r="L201" s="285">
        <f t="shared" si="53"/>
        <v>599.99878435279163</v>
      </c>
      <c r="M201" s="286">
        <f t="shared" si="54"/>
        <v>1790.25</v>
      </c>
      <c r="N201" s="287">
        <f t="shared" si="55"/>
        <v>1373.8362257761335</v>
      </c>
      <c r="O201" s="287">
        <f t="shared" si="56"/>
        <v>312.76292399293408</v>
      </c>
      <c r="P201" s="287">
        <f t="shared" si="57"/>
        <v>11.0298</v>
      </c>
    </row>
    <row r="202" spans="1:16" x14ac:dyDescent="0.3">
      <c r="A202" s="276">
        <f t="shared" si="52"/>
        <v>191</v>
      </c>
      <c r="B202" s="285">
        <f t="shared" si="58"/>
        <v>2148.0000176133508</v>
      </c>
      <c r="C202" s="286">
        <f t="shared" si="67"/>
        <v>3958.1885000000002</v>
      </c>
      <c r="D202" s="287">
        <f t="shared" si="59"/>
        <v>3375.797043481803</v>
      </c>
      <c r="E202" s="287">
        <f t="shared" si="60"/>
        <v>1079.1668087644725</v>
      </c>
      <c r="F202" s="288">
        <f t="shared" si="61"/>
        <v>41.872209143999996</v>
      </c>
      <c r="G202" s="285">
        <f t="shared" si="62"/>
        <v>11.999998532220754</v>
      </c>
      <c r="H202" s="286">
        <f t="shared" si="63"/>
        <v>41.447000000000003</v>
      </c>
      <c r="I202" s="287">
        <f t="shared" si="64"/>
        <v>29.944436417109298</v>
      </c>
      <c r="J202" s="287">
        <f t="shared" si="65"/>
        <v>6.2561734865222967</v>
      </c>
      <c r="K202" s="288">
        <f t="shared" si="66"/>
        <v>0.22059599999999999</v>
      </c>
      <c r="L202" s="285">
        <f t="shared" si="53"/>
        <v>599.99888155057579</v>
      </c>
      <c r="M202" s="286">
        <f t="shared" si="54"/>
        <v>1801.1</v>
      </c>
      <c r="N202" s="287">
        <f t="shared" si="55"/>
        <v>1378.8259395553266</v>
      </c>
      <c r="O202" s="287">
        <f t="shared" si="56"/>
        <v>312.76587311079697</v>
      </c>
      <c r="P202" s="287">
        <f t="shared" si="57"/>
        <v>11.0298</v>
      </c>
    </row>
    <row r="203" spans="1:16" x14ac:dyDescent="0.3">
      <c r="A203" s="276">
        <f t="shared" si="52"/>
        <v>192</v>
      </c>
      <c r="B203" s="285">
        <f t="shared" si="58"/>
        <v>2160.0000162050651</v>
      </c>
      <c r="C203" s="286">
        <f t="shared" si="67"/>
        <v>3999.7440000000001</v>
      </c>
      <c r="D203" s="287">
        <f t="shared" si="59"/>
        <v>3405.7843026326873</v>
      </c>
      <c r="E203" s="287">
        <f t="shared" si="60"/>
        <v>1085.4229877303089</v>
      </c>
      <c r="F203" s="288">
        <f t="shared" si="61"/>
        <v>42.092805143999996</v>
      </c>
      <c r="G203" s="285">
        <f t="shared" si="62"/>
        <v>11.999998649577904</v>
      </c>
      <c r="H203" s="286">
        <f t="shared" si="63"/>
        <v>41.664000000000001</v>
      </c>
      <c r="I203" s="287">
        <f t="shared" si="64"/>
        <v>30.029999406404357</v>
      </c>
      <c r="J203" s="287">
        <f t="shared" si="65"/>
        <v>6.2561843473631074</v>
      </c>
      <c r="K203" s="288">
        <f t="shared" si="66"/>
        <v>0.22059599999999999</v>
      </c>
      <c r="L203" s="285">
        <f t="shared" si="53"/>
        <v>599.99897097685425</v>
      </c>
      <c r="M203" s="286">
        <f t="shared" si="54"/>
        <v>1811.95</v>
      </c>
      <c r="N203" s="287">
        <f t="shared" si="55"/>
        <v>1383.7868776718317</v>
      </c>
      <c r="O203" s="287">
        <f t="shared" si="56"/>
        <v>312.76866713030989</v>
      </c>
      <c r="P203" s="287">
        <f t="shared" si="57"/>
        <v>11.0298</v>
      </c>
    </row>
    <row r="204" spans="1:16" x14ac:dyDescent="0.3">
      <c r="A204" s="276">
        <f t="shared" si="52"/>
        <v>193</v>
      </c>
      <c r="B204" s="285">
        <f t="shared" si="58"/>
        <v>2172.0000149093798</v>
      </c>
      <c r="C204" s="286">
        <f t="shared" si="67"/>
        <v>4041.5165000000002</v>
      </c>
      <c r="D204" s="287">
        <f t="shared" si="59"/>
        <v>3435.8568778143031</v>
      </c>
      <c r="E204" s="287">
        <f t="shared" si="60"/>
        <v>1091.6791772688214</v>
      </c>
      <c r="F204" s="288">
        <f t="shared" si="61"/>
        <v>42.313401143999997</v>
      </c>
      <c r="G204" s="285">
        <f t="shared" si="62"/>
        <v>11.999998757551694</v>
      </c>
      <c r="H204" s="286">
        <f t="shared" si="63"/>
        <v>41.881</v>
      </c>
      <c r="I204" s="287">
        <f t="shared" si="64"/>
        <v>30.115068954226128</v>
      </c>
      <c r="J204" s="287">
        <f t="shared" si="65"/>
        <v>6.2561946370166792</v>
      </c>
      <c r="K204" s="288">
        <f t="shared" si="66"/>
        <v>0.22059599999999999</v>
      </c>
      <c r="L204" s="285">
        <f t="shared" si="53"/>
        <v>599.99905325300222</v>
      </c>
      <c r="M204" s="286">
        <f t="shared" si="54"/>
        <v>1822.8</v>
      </c>
      <c r="N204" s="287">
        <f t="shared" si="55"/>
        <v>1388.7192060747996</v>
      </c>
      <c r="O204" s="287">
        <f t="shared" si="56"/>
        <v>312.77131420831813</v>
      </c>
      <c r="P204" s="287">
        <f t="shared" si="57"/>
        <v>11.0298</v>
      </c>
    </row>
    <row r="205" spans="1:16" x14ac:dyDescent="0.3">
      <c r="A205" s="276">
        <f t="shared" si="52"/>
        <v>194</v>
      </c>
      <c r="B205" s="285">
        <f t="shared" si="58"/>
        <v>2184.0000137172915</v>
      </c>
      <c r="C205" s="286">
        <f t="shared" si="67"/>
        <v>4083.5059999999999</v>
      </c>
      <c r="D205" s="287">
        <f t="shared" si="59"/>
        <v>3466.0142770093867</v>
      </c>
      <c r="E205" s="287">
        <f t="shared" si="60"/>
        <v>1097.9353768239775</v>
      </c>
      <c r="F205" s="288">
        <f t="shared" si="61"/>
        <v>42.533997143999997</v>
      </c>
      <c r="G205" s="285">
        <f t="shared" si="62"/>
        <v>11.999998856892374</v>
      </c>
      <c r="H205" s="286">
        <f t="shared" si="63"/>
        <v>42.097999999999999</v>
      </c>
      <c r="I205" s="287">
        <f t="shared" si="64"/>
        <v>30.199647906249925</v>
      </c>
      <c r="J205" s="287">
        <f t="shared" si="65"/>
        <v>6.2562043855225706</v>
      </c>
      <c r="K205" s="288">
        <f t="shared" si="66"/>
        <v>0.22059599999999999</v>
      </c>
      <c r="L205" s="285">
        <f t="shared" si="53"/>
        <v>599.99912895071259</v>
      </c>
      <c r="M205" s="286">
        <f t="shared" si="54"/>
        <v>1833.65</v>
      </c>
      <c r="N205" s="287">
        <f t="shared" si="55"/>
        <v>1393.6230897563526</v>
      </c>
      <c r="O205" s="287">
        <f t="shared" si="56"/>
        <v>312.77382207268681</v>
      </c>
      <c r="P205" s="287">
        <f t="shared" si="57"/>
        <v>11.0298</v>
      </c>
    </row>
    <row r="206" spans="1:16" x14ac:dyDescent="0.3">
      <c r="A206" s="276">
        <f t="shared" ref="A206:A211" si="68">A205+1</f>
        <v>195</v>
      </c>
      <c r="B206" s="285">
        <f t="shared" si="58"/>
        <v>2196.0000126205173</v>
      </c>
      <c r="C206" s="286">
        <f t="shared" si="67"/>
        <v>4125.7124999999996</v>
      </c>
      <c r="D206" s="287">
        <f t="shared" si="59"/>
        <v>3496.2560110381396</v>
      </c>
      <c r="E206" s="287">
        <f t="shared" si="60"/>
        <v>1104.1915858689872</v>
      </c>
      <c r="F206" s="288">
        <f t="shared" si="61"/>
        <v>42.754593143999998</v>
      </c>
      <c r="G206" s="285">
        <f t="shared" si="62"/>
        <v>11.999998948290214</v>
      </c>
      <c r="H206" s="286">
        <f t="shared" si="63"/>
        <v>42.314999999999998</v>
      </c>
      <c r="I206" s="287">
        <f t="shared" si="64"/>
        <v>30.283739091740081</v>
      </c>
      <c r="J206" s="287">
        <f t="shared" si="65"/>
        <v>6.2562136213405157</v>
      </c>
      <c r="K206" s="288">
        <f t="shared" si="66"/>
        <v>0.22059599999999999</v>
      </c>
      <c r="L206" s="285">
        <f t="shared" si="53"/>
        <v>599.99919859596832</v>
      </c>
      <c r="M206" s="286">
        <f t="shared" si="54"/>
        <v>1844.5</v>
      </c>
      <c r="N206" s="287">
        <f t="shared" si="55"/>
        <v>1398.4986927571038</v>
      </c>
      <c r="O206" s="287">
        <f t="shared" si="56"/>
        <v>312.77619804486136</v>
      </c>
      <c r="P206" s="287">
        <f t="shared" si="57"/>
        <v>11.0298</v>
      </c>
    </row>
    <row r="207" spans="1:16" x14ac:dyDescent="0.3">
      <c r="A207" s="276">
        <f t="shared" si="68"/>
        <v>196</v>
      </c>
      <c r="B207" s="285">
        <f t="shared" si="58"/>
        <v>2208.0000116114365</v>
      </c>
      <c r="C207" s="286">
        <f t="shared" si="67"/>
        <v>4168.1359999999995</v>
      </c>
      <c r="D207" s="287">
        <f t="shared" si="59"/>
        <v>3526.5815935418541</v>
      </c>
      <c r="E207" s="287">
        <f t="shared" si="60"/>
        <v>1110.447803904766</v>
      </c>
      <c r="F207" s="288">
        <f t="shared" si="61"/>
        <v>42.975189143999998</v>
      </c>
      <c r="G207" s="285">
        <f t="shared" si="62"/>
        <v>11.999999032380284</v>
      </c>
      <c r="H207" s="286">
        <f t="shared" si="63"/>
        <v>42.531999999999996</v>
      </c>
      <c r="I207" s="287">
        <f t="shared" si="64"/>
        <v>30.367345323644571</v>
      </c>
      <c r="J207" s="287">
        <f t="shared" si="65"/>
        <v>6.2562223714335117</v>
      </c>
      <c r="K207" s="288">
        <f t="shared" si="66"/>
        <v>0.22059599999999999</v>
      </c>
      <c r="L207" s="285">
        <f t="shared" si="53"/>
        <v>599.99926267269677</v>
      </c>
      <c r="M207" s="286">
        <f t="shared" si="54"/>
        <v>1855.35</v>
      </c>
      <c r="N207" s="287">
        <f t="shared" si="55"/>
        <v>1403.3461781716451</v>
      </c>
      <c r="O207" s="287">
        <f t="shared" si="56"/>
        <v>312.77844906124199</v>
      </c>
      <c r="P207" s="287">
        <f t="shared" si="57"/>
        <v>11.0298</v>
      </c>
    </row>
    <row r="208" spans="1:16" x14ac:dyDescent="0.3">
      <c r="A208" s="276">
        <f t="shared" si="68"/>
        <v>197</v>
      </c>
      <c r="B208" s="285">
        <f t="shared" si="58"/>
        <v>2220.0000106830375</v>
      </c>
      <c r="C208" s="286">
        <f t="shared" si="67"/>
        <v>4210.7764999999999</v>
      </c>
      <c r="D208" s="287">
        <f t="shared" si="59"/>
        <v>3556.9905409666549</v>
      </c>
      <c r="E208" s="287">
        <f t="shared" si="60"/>
        <v>1116.7040304584759</v>
      </c>
      <c r="F208" s="288">
        <f t="shared" si="61"/>
        <v>43.195785143999998</v>
      </c>
      <c r="G208" s="285">
        <f t="shared" si="62"/>
        <v>11.999999109746886</v>
      </c>
      <c r="H208" s="286">
        <f t="shared" si="63"/>
        <v>42.749000000000002</v>
      </c>
      <c r="I208" s="287">
        <f t="shared" si="64"/>
        <v>30.450469398689098</v>
      </c>
      <c r="J208" s="287">
        <f t="shared" si="65"/>
        <v>6.2562306613465326</v>
      </c>
      <c r="K208" s="288">
        <f t="shared" si="66"/>
        <v>0.22059599999999999</v>
      </c>
      <c r="L208" s="285">
        <f t="shared" si="53"/>
        <v>599.99932162613288</v>
      </c>
      <c r="M208" s="286">
        <f t="shared" si="54"/>
        <v>1866.2</v>
      </c>
      <c r="N208" s="287">
        <f t="shared" si="55"/>
        <v>1408.165708154002</v>
      </c>
      <c r="O208" s="287">
        <f t="shared" si="56"/>
        <v>312.78058169343365</v>
      </c>
      <c r="P208" s="287">
        <f t="shared" si="57"/>
        <v>11.0298</v>
      </c>
    </row>
    <row r="209" spans="1:16" x14ac:dyDescent="0.3">
      <c r="A209" s="276">
        <f t="shared" si="68"/>
        <v>198</v>
      </c>
      <c r="B209" s="285">
        <f t="shared" si="58"/>
        <v>2232.0000098288688</v>
      </c>
      <c r="C209" s="286">
        <f t="shared" si="67"/>
        <v>4253.634</v>
      </c>
      <c r="D209" s="287">
        <f t="shared" si="59"/>
        <v>3587.4823725473229</v>
      </c>
      <c r="E209" s="287">
        <f t="shared" si="60"/>
        <v>1122.9602650821469</v>
      </c>
      <c r="F209" s="288">
        <f t="shared" si="61"/>
        <v>43.416381143999992</v>
      </c>
      <c r="G209" s="285">
        <f t="shared" si="62"/>
        <v>11.999999180927595</v>
      </c>
      <c r="H209" s="286">
        <f t="shared" si="63"/>
        <v>42.966000000000001</v>
      </c>
      <c r="I209" s="287">
        <f t="shared" si="64"/>
        <v>30.533114097470662</v>
      </c>
      <c r="J209" s="287">
        <f t="shared" si="65"/>
        <v>6.2562385152811055</v>
      </c>
      <c r="K209" s="288">
        <f t="shared" si="66"/>
        <v>0.22059599999999999</v>
      </c>
      <c r="L209" s="285">
        <f t="shared" si="53"/>
        <v>599.9993758659125</v>
      </c>
      <c r="M209" s="286">
        <f t="shared" si="54"/>
        <v>1877.05</v>
      </c>
      <c r="N209" s="287">
        <f t="shared" si="55"/>
        <v>1412.9574439230587</v>
      </c>
      <c r="O209" s="287">
        <f t="shared" si="56"/>
        <v>312.78260216743109</v>
      </c>
      <c r="P209" s="287">
        <f t="shared" si="57"/>
        <v>11.0298</v>
      </c>
    </row>
    <row r="210" spans="1:16" x14ac:dyDescent="0.3">
      <c r="A210" s="276">
        <f t="shared" si="68"/>
        <v>199</v>
      </c>
      <c r="B210" s="285">
        <f t="shared" si="58"/>
        <v>2244.0000090429958</v>
      </c>
      <c r="C210" s="286">
        <f t="shared" si="67"/>
        <v>4296.7084999999997</v>
      </c>
      <c r="D210" s="287">
        <f t="shared" si="59"/>
        <v>3618.0566102912057</v>
      </c>
      <c r="E210" s="287">
        <f t="shared" si="60"/>
        <v>1129.2165073513681</v>
      </c>
      <c r="F210" s="288">
        <f t="shared" si="61"/>
        <v>43.636977143999992</v>
      </c>
      <c r="G210" s="285">
        <f t="shared" si="62"/>
        <v>11.999999246417008</v>
      </c>
      <c r="H210" s="286">
        <f t="shared" si="63"/>
        <v>43.183</v>
      </c>
      <c r="I210" s="287">
        <f t="shared" si="64"/>
        <v>30.615282184550569</v>
      </c>
      <c r="J210" s="287">
        <f t="shared" si="65"/>
        <v>6.2562459561659622</v>
      </c>
      <c r="K210" s="288">
        <f t="shared" si="66"/>
        <v>0.22059599999999999</v>
      </c>
      <c r="L210" s="285">
        <f t="shared" si="53"/>
        <v>599.99942576891885</v>
      </c>
      <c r="M210" s="286">
        <f t="shared" si="54"/>
        <v>1887.9</v>
      </c>
      <c r="N210" s="287">
        <f t="shared" si="55"/>
        <v>1417.7215457679504</v>
      </c>
      <c r="O210" s="287">
        <f t="shared" si="56"/>
        <v>312.78451638179513</v>
      </c>
      <c r="P210" s="287">
        <f t="shared" si="57"/>
        <v>11.0298</v>
      </c>
    </row>
    <row r="211" spans="1:16" x14ac:dyDescent="0.3">
      <c r="A211" s="277">
        <f t="shared" si="68"/>
        <v>200</v>
      </c>
      <c r="B211" s="289">
        <f t="shared" si="58"/>
        <v>2256.0000083199579</v>
      </c>
      <c r="C211" s="290">
        <f t="shared" si="67"/>
        <v>4340</v>
      </c>
      <c r="D211" s="291">
        <f t="shared" si="59"/>
        <v>3648.7127789622382</v>
      </c>
      <c r="E211" s="291">
        <f t="shared" si="60"/>
        <v>1135.4727568640494</v>
      </c>
      <c r="F211" s="292">
        <f t="shared" si="61"/>
        <v>43.857573143999993</v>
      </c>
      <c r="G211" s="289">
        <f t="shared" si="62"/>
        <v>11.999999306670176</v>
      </c>
      <c r="H211" s="290">
        <f t="shared" si="63"/>
        <v>43.4</v>
      </c>
      <c r="I211" s="291">
        <f t="shared" si="64"/>
        <v>30.696976408546917</v>
      </c>
      <c r="J211" s="291">
        <f t="shared" si="65"/>
        <v>6.2562530057239831</v>
      </c>
      <c r="K211" s="292">
        <f t="shared" si="66"/>
        <v>0.22059599999999999</v>
      </c>
      <c r="L211" s="285">
        <f t="shared" si="53"/>
        <v>599.99947168190113</v>
      </c>
      <c r="M211" s="286">
        <f t="shared" si="54"/>
        <v>1898.75</v>
      </c>
      <c r="N211" s="287">
        <f t="shared" si="55"/>
        <v>1422.4581730534253</v>
      </c>
      <c r="O211" s="287">
        <f t="shared" si="56"/>
        <v>312.78632992487258</v>
      </c>
      <c r="P211" s="287">
        <f t="shared" si="57"/>
        <v>11.0298</v>
      </c>
    </row>
  </sheetData>
  <sheetProtection password="B467" sheet="1" objects="1" scenarios="1"/>
  <mergeCells count="3">
    <mergeCell ref="C1:F1"/>
    <mergeCell ref="H1:K1"/>
    <mergeCell ref="M1:P1"/>
  </mergeCells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Instructions</vt:lpstr>
      <vt:lpstr>Control Panel</vt:lpstr>
      <vt:lpstr>Cross-Over Leak Rate</vt:lpstr>
      <vt:lpstr>Final Outputs</vt:lpstr>
      <vt:lpstr>TPWP Scenario Outputs</vt:lpstr>
      <vt:lpstr>Other Sectors Outputs</vt:lpstr>
      <vt:lpstr>Emissions Factors</vt:lpstr>
      <vt:lpstr>Cross-Over L Calcs</vt:lpstr>
      <vt:lpstr>Calcs - Power</vt:lpstr>
      <vt:lpstr>Calcs - Transp</vt:lpstr>
      <vt:lpstr>Methane Leakage</vt:lpstr>
      <vt:lpstr>2010 Baseline Data</vt:lpstr>
      <vt:lpstr>TPWP Formula</vt:lpstr>
      <vt:lpstr>Summary chart</vt:lpstr>
      <vt:lpstr>'Control Panel'!Print_Area</vt:lpstr>
    </vt:vector>
  </TitlesOfParts>
  <Company>Princeton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W. Pacala</dc:creator>
  <cp:lastModifiedBy>Jonathan Camuzeaux</cp:lastModifiedBy>
  <cp:lastPrinted>2012-01-12T16:43:14Z</cp:lastPrinted>
  <dcterms:created xsi:type="dcterms:W3CDTF">2011-07-15T15:25:04Z</dcterms:created>
  <dcterms:modified xsi:type="dcterms:W3CDTF">2017-05-31T15:42:50Z</dcterms:modified>
</cp:coreProperties>
</file>